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3"/>
  </bookViews>
  <sheets>
    <sheet name="I01鉱業" sheetId="9" r:id="rId1"/>
    <sheet name="I02鉱業" sheetId="10" r:id="rId2"/>
    <sheet name="I03,4I製造" sheetId="8" r:id="rId3"/>
    <sheet name="I05町村" sheetId="4" r:id="rId4"/>
    <sheet name="I06薬品" sheetId="5" r:id="rId5"/>
    <sheet name="I07酒類" sheetId="6" r:id="rId6"/>
    <sheet name="I08鉱工業" sheetId="7" r:id="rId7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\o">#N/A</definedName>
    <definedName name="\p">#N/A</definedName>
    <definedName name="\q">#N/A</definedName>
    <definedName name="_xlnm.Print_Area" localSheetId="0">I01鉱業!$A$1:$K$39</definedName>
    <definedName name="_xlnm.Print_Area" localSheetId="1">I02鉱業!$A$1:$K$37</definedName>
    <definedName name="_xlnm.Print_Area" localSheetId="2">'I03,4I製造'!$A$1:$J$862</definedName>
    <definedName name="_xlnm.Print_Area" localSheetId="3">I05町村!$A$1:$J$74</definedName>
    <definedName name="_xlnm.Print_Area" localSheetId="4">I06薬品!$A$1:$J$70</definedName>
    <definedName name="_xlnm.Print_Area" localSheetId="5">I07酒類!$A$1:$K$64</definedName>
    <definedName name="_xlnm.Print_Area" localSheetId="6">I08鉱工業!$A$1:$L$127</definedName>
    <definedName name="Print_Area_MI" localSheetId="0">I01鉱業!$A$1:$K$39</definedName>
    <definedName name="Print_Area_MI" localSheetId="1">I02鉱業!$A$1:$K$37</definedName>
    <definedName name="Print_Area_MI" localSheetId="2">'I03,4I製造'!$A$1:$J$862</definedName>
    <definedName name="Print_Area_MI" localSheetId="3">I05町村!$A$1:$J$74</definedName>
    <definedName name="Print_Area_MI" localSheetId="4">I06薬品!$A$1:$J$70</definedName>
    <definedName name="Print_Area_MI" localSheetId="5">I07酒類!$A$1:$K$64</definedName>
    <definedName name="Print_Area_MI" localSheetId="6">I08鉱工業!$A$1:$J$127</definedName>
  </definedNames>
  <calcPr calcId="145621"/>
</workbook>
</file>

<file path=xl/calcChain.xml><?xml version="1.0" encoding="utf-8"?>
<calcChain xmlns="http://schemas.openxmlformats.org/spreadsheetml/2006/main">
  <c r="F35" i="10" l="1"/>
  <c r="F34" i="10"/>
  <c r="F33" i="10"/>
  <c r="F32" i="10"/>
  <c r="F31" i="10"/>
  <c r="F30" i="10"/>
  <c r="F28" i="10"/>
  <c r="F27" i="10"/>
  <c r="F26" i="10"/>
  <c r="F25" i="10"/>
  <c r="F24" i="10"/>
  <c r="F23" i="10"/>
  <c r="J417" i="8"/>
  <c r="I415" i="8"/>
  <c r="I385" i="8"/>
  <c r="I317" i="8"/>
  <c r="I275" i="8"/>
  <c r="J273" i="8"/>
  <c r="I271" i="8"/>
  <c r="I245" i="8"/>
  <c r="G244" i="8"/>
  <c r="G243" i="8"/>
  <c r="I241" i="8"/>
  <c r="I232" i="8"/>
  <c r="J231" i="8"/>
  <c r="H231" i="8"/>
  <c r="G231" i="8"/>
  <c r="I230" i="8"/>
  <c r="I203" i="8"/>
  <c r="G202" i="8"/>
  <c r="J201" i="8"/>
  <c r="G201" i="8"/>
  <c r="I199" i="8"/>
  <c r="I197" i="8"/>
  <c r="H196" i="8"/>
  <c r="I191" i="8"/>
  <c r="J190" i="8"/>
  <c r="I190" i="8"/>
  <c r="J189" i="8"/>
  <c r="H189" i="8"/>
  <c r="G189" i="8"/>
  <c r="I188" i="8"/>
  <c r="H187" i="8"/>
  <c r="I173" i="8"/>
  <c r="G172" i="8"/>
  <c r="J171" i="8"/>
  <c r="I171" i="8"/>
  <c r="H171" i="8"/>
  <c r="G171" i="8"/>
  <c r="I169" i="8"/>
  <c r="I167" i="8"/>
  <c r="H166" i="8"/>
  <c r="I161" i="8"/>
  <c r="I160" i="8"/>
  <c r="H160" i="8"/>
  <c r="G160" i="8"/>
  <c r="J159" i="8"/>
  <c r="H159" i="8"/>
  <c r="G159" i="8"/>
  <c r="I158" i="8"/>
  <c r="G158" i="8"/>
  <c r="I157" i="8"/>
  <c r="H157" i="8"/>
  <c r="G157" i="8"/>
  <c r="I132" i="8"/>
  <c r="J131" i="8"/>
  <c r="I131" i="8"/>
  <c r="G131" i="8"/>
  <c r="J130" i="8"/>
  <c r="H130" i="8"/>
  <c r="G130" i="8"/>
  <c r="J128" i="8"/>
  <c r="I128" i="8"/>
  <c r="H128" i="8"/>
  <c r="J127" i="8"/>
  <c r="I127" i="8"/>
  <c r="H127" i="8"/>
  <c r="G127" i="8"/>
  <c r="I126" i="8"/>
  <c r="G126" i="8"/>
  <c r="J125" i="8"/>
  <c r="I125" i="8"/>
  <c r="H125" i="8"/>
  <c r="G125" i="8"/>
  <c r="I124" i="8"/>
  <c r="J123" i="8"/>
  <c r="I123" i="8"/>
  <c r="H123" i="8"/>
  <c r="J121" i="8"/>
  <c r="I121" i="8"/>
  <c r="H121" i="8"/>
  <c r="G121" i="8"/>
  <c r="I120" i="8"/>
  <c r="G120" i="8"/>
  <c r="I102" i="8"/>
  <c r="J101" i="8"/>
  <c r="I101" i="8"/>
  <c r="G101" i="8"/>
  <c r="J100" i="8"/>
  <c r="I100" i="8"/>
  <c r="H100" i="8"/>
  <c r="G100" i="8"/>
  <c r="J98" i="8"/>
  <c r="I98" i="8"/>
  <c r="H98" i="8"/>
  <c r="J97" i="8"/>
  <c r="I97" i="8"/>
  <c r="H97" i="8"/>
  <c r="G97" i="8"/>
  <c r="I96" i="8"/>
  <c r="G96" i="8"/>
  <c r="J95" i="8"/>
  <c r="I95" i="8"/>
  <c r="H95" i="8"/>
  <c r="G95" i="8"/>
  <c r="I94" i="8"/>
  <c r="J93" i="8"/>
  <c r="I93" i="8"/>
  <c r="H93" i="8"/>
  <c r="J91" i="8"/>
  <c r="I91" i="8"/>
  <c r="H91" i="8"/>
  <c r="G91" i="8"/>
  <c r="I90" i="8"/>
  <c r="G90" i="8"/>
  <c r="J89" i="8"/>
  <c r="I89" i="8"/>
  <c r="H89" i="8"/>
  <c r="G89" i="8"/>
  <c r="J88" i="8"/>
  <c r="H88" i="8"/>
  <c r="G88" i="8"/>
  <c r="I87" i="8"/>
  <c r="G87" i="8"/>
  <c r="I86" i="8"/>
  <c r="H86" i="8"/>
  <c r="G86" i="8"/>
  <c r="J68" i="8"/>
  <c r="I68" i="8"/>
  <c r="H68" i="8"/>
  <c r="G68" i="8"/>
  <c r="F68" i="8"/>
  <c r="E68" i="8"/>
  <c r="J23" i="8"/>
  <c r="I23" i="8"/>
  <c r="H23" i="8"/>
  <c r="G23" i="8"/>
  <c r="F23" i="8"/>
  <c r="E23" i="8"/>
  <c r="J77" i="7"/>
  <c r="J76" i="7"/>
  <c r="D14" i="7"/>
  <c r="C58" i="6"/>
  <c r="C57" i="6"/>
  <c r="C56" i="6"/>
  <c r="C54" i="6"/>
  <c r="C53" i="6"/>
  <c r="C52" i="6"/>
  <c r="C50" i="6"/>
  <c r="E49" i="6"/>
  <c r="D49" i="6"/>
  <c r="C49" i="6" s="1"/>
  <c r="E48" i="6"/>
  <c r="D48" i="6"/>
  <c r="C48" i="6"/>
  <c r="G46" i="6"/>
  <c r="F46" i="6"/>
  <c r="E46" i="6"/>
  <c r="D46" i="6"/>
  <c r="C46" i="6"/>
  <c r="E45" i="6"/>
  <c r="D45" i="6"/>
  <c r="C45" i="6"/>
  <c r="J44" i="6"/>
  <c r="C44" i="6" s="1"/>
  <c r="I44" i="6"/>
  <c r="H44" i="6"/>
  <c r="G44" i="6"/>
  <c r="F44" i="6"/>
  <c r="E44" i="6"/>
  <c r="D44" i="6"/>
  <c r="J42" i="6"/>
  <c r="I42" i="6"/>
  <c r="H42" i="6"/>
  <c r="C42" i="6"/>
  <c r="C41" i="6"/>
  <c r="E40" i="6"/>
  <c r="D40" i="6"/>
  <c r="C40" i="6"/>
  <c r="H29" i="6"/>
  <c r="G29" i="6"/>
  <c r="F29" i="6"/>
  <c r="D29" i="6"/>
  <c r="C29" i="6"/>
  <c r="C27" i="6"/>
  <c r="C26" i="6"/>
  <c r="C25" i="6"/>
  <c r="C23" i="6"/>
  <c r="C22" i="6"/>
  <c r="C21" i="6"/>
  <c r="C19" i="6"/>
  <c r="C18" i="6"/>
  <c r="C17" i="6"/>
  <c r="C15" i="6"/>
  <c r="C14" i="6"/>
  <c r="F13" i="6"/>
  <c r="D13" i="6"/>
  <c r="C13" i="6"/>
  <c r="J48" i="5"/>
  <c r="I48" i="5"/>
  <c r="H48" i="5"/>
  <c r="G48" i="5"/>
  <c r="F48" i="5"/>
  <c r="E48" i="5"/>
  <c r="D48" i="5"/>
  <c r="J13" i="5"/>
  <c r="I13" i="5"/>
  <c r="H13" i="5"/>
  <c r="G13" i="5"/>
  <c r="F13" i="5"/>
  <c r="E13" i="5"/>
  <c r="D13" i="5"/>
  <c r="J11" i="5"/>
  <c r="I11" i="5"/>
  <c r="H11" i="5"/>
  <c r="G11" i="5"/>
  <c r="F11" i="5"/>
  <c r="E11" i="5"/>
  <c r="D11" i="5"/>
</calcChain>
</file>

<file path=xl/sharedStrings.xml><?xml version="1.0" encoding="utf-8"?>
<sst xmlns="http://schemas.openxmlformats.org/spreadsheetml/2006/main" count="1550" uniqueCount="409">
  <si>
    <t xml:space="preserve">      Ｉ-05 市町村別製造業事業所数等</t>
  </si>
  <si>
    <t>（従業者４人以上の事業所）</t>
  </si>
  <si>
    <t>調査の概要は、Ｉ-03製造業の従業者規模別事業所数等の説明を参照</t>
    <phoneticPr fontId="4"/>
  </si>
  <si>
    <t xml:space="preserve"> 注）</t>
  </si>
  <si>
    <t xml:space="preserve"> 事業所数</t>
  </si>
  <si>
    <t xml:space="preserve"> 従業者数</t>
  </si>
  <si>
    <t>現金給与総額</t>
  </si>
  <si>
    <t>原材料</t>
  </si>
  <si>
    <t>製造品</t>
  </si>
  <si>
    <t>粗付加価値額</t>
  </si>
  <si>
    <t>有形固定資産</t>
  </si>
  <si>
    <t xml:space="preserve">  使用額等</t>
  </si>
  <si>
    <t xml:space="preserve">   出荷額等</t>
  </si>
  <si>
    <t xml:space="preserve">  年末現在高</t>
  </si>
  <si>
    <t>人</t>
  </si>
  <si>
    <t>百万円</t>
  </si>
  <si>
    <t xml:space="preserve"> 平成13年 2001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</si>
  <si>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</si>
  <si>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</si>
  <si>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</si>
  <si>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</si>
  <si>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</si>
  <si>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</si>
  <si>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</si>
  <si>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>X</t>
    <phoneticPr fontId="4"/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</si>
  <si>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</si>
  <si>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</si>
  <si>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</si>
  <si>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</si>
  <si>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</si>
  <si>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</si>
  <si>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</si>
  <si>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</si>
  <si>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</si>
  <si>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</si>
  <si>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</si>
  <si>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</si>
  <si>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</si>
  <si>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>－</t>
    <phoneticPr fontId="4"/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</si>
  <si>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</si>
  <si>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</si>
  <si>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</si>
  <si>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</si>
  <si>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</si>
  <si>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</si>
  <si>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</si>
  <si>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</si>
  <si>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</si>
  <si>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</si>
  <si>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</si>
  <si>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</si>
  <si>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</si>
  <si>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</si>
  <si>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</si>
  <si>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</si>
  <si>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</si>
  <si>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</si>
  <si>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</si>
  <si>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</si>
  <si>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</si>
  <si>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</si>
  <si>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</si>
  <si>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</si>
  <si>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</si>
  <si>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</si>
  <si>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</si>
  <si>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</si>
  <si>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</si>
  <si>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</si>
  <si>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資料:経済産業省産業政策局「工業統計表」</t>
    <rPh sb="3" eb="5">
      <t>ケイザイ</t>
    </rPh>
    <rPh sb="5" eb="7">
      <t>サンギョウ</t>
    </rPh>
    <rPh sb="8" eb="10">
      <t>サンギョウ</t>
    </rPh>
    <rPh sb="10" eb="12">
      <t>セイサク</t>
    </rPh>
    <rPh sb="12" eb="13">
      <t>キョク</t>
    </rPh>
    <phoneticPr fontId="4"/>
  </si>
  <si>
    <t>　　　注）従業者30人以上の事業所</t>
    <phoneticPr fontId="4"/>
  </si>
  <si>
    <t>Ｉ-06 主要薬効分類別医薬品・医薬部外品の生産額</t>
  </si>
  <si>
    <t xml:space="preserve"> </t>
  </si>
  <si>
    <t xml:space="preserve">         単位：百万円</t>
    <phoneticPr fontId="4"/>
  </si>
  <si>
    <t xml:space="preserve"> 1985</t>
  </si>
  <si>
    <t xml:space="preserve"> 1990</t>
  </si>
  <si>
    <t xml:space="preserve"> 1995</t>
  </si>
  <si>
    <r>
      <t>2</t>
    </r>
    <r>
      <rPr>
        <sz val="11"/>
        <color theme="1"/>
        <rFont val="ＭＳ Ｐゴシック"/>
        <family val="2"/>
        <charset val="128"/>
        <scheme val="minor"/>
      </rPr>
      <t>000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</si>
  <si>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001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</si>
  <si>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002</t>
    </r>
    <phoneticPr fontId="4"/>
  </si>
  <si>
    <t>　</t>
  </si>
  <si>
    <t xml:space="preserve"> 昭和60年</t>
  </si>
  <si>
    <t xml:space="preserve"> 平成 2年</t>
  </si>
  <si>
    <t xml:space="preserve"> 平成 7年</t>
  </si>
  <si>
    <t xml:space="preserve"> 平成11年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</si>
  <si>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</si>
  <si>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</si>
  <si>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</si>
  <si>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>　　総   数</t>
  </si>
  <si>
    <t>医薬品</t>
  </si>
  <si>
    <t>中枢神経系用薬</t>
  </si>
  <si>
    <t>末梢神経系用薬</t>
  </si>
  <si>
    <t>感覚器官用薬</t>
  </si>
  <si>
    <t>アレルギー用薬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</si>
  <si>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</si>
  <si>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</si>
  <si>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</si>
  <si>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</si>
  <si>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</si>
  <si>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</si>
  <si>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</si>
  <si>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</si>
  <si>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血液及び体液用薬</t>
  </si>
  <si>
    <t>･･･</t>
  </si>
  <si>
    <t>人工唾潅流用薬 （注1</t>
    <phoneticPr fontId="4"/>
  </si>
  <si>
    <t>その他の代謝性医薬品</t>
  </si>
  <si>
    <t>腫瘍用薬</t>
  </si>
  <si>
    <t>漢方製剤</t>
  </si>
  <si>
    <t>生物学的製剤</t>
  </si>
  <si>
    <t>寄生動物用薬</t>
  </si>
  <si>
    <t>調剤用薬</t>
  </si>
  <si>
    <t>公衆衛生用薬</t>
  </si>
  <si>
    <t>抗生物質</t>
    <rPh sb="0" eb="4">
      <t>コウセイブッシツ</t>
    </rPh>
    <phoneticPr fontId="4"/>
  </si>
  <si>
    <t>化学療法剤</t>
    <rPh sb="0" eb="2">
      <t>カガク</t>
    </rPh>
    <rPh sb="2" eb="4">
      <t>リョウホウ</t>
    </rPh>
    <rPh sb="4" eb="5">
      <t>ザイ</t>
    </rPh>
    <phoneticPr fontId="4"/>
  </si>
  <si>
    <t>その他 （注2</t>
    <phoneticPr fontId="4"/>
  </si>
  <si>
    <t>その他</t>
  </si>
  <si>
    <t>医薬部外品</t>
  </si>
  <si>
    <t>薬用化粧品</t>
  </si>
  <si>
    <t>毛髪用剤</t>
  </si>
  <si>
    <t>浴用剤</t>
  </si>
  <si>
    <t>てんか粉類</t>
  </si>
  <si>
    <t>腋臭防止剤</t>
  </si>
  <si>
    <t>防虫剤</t>
  </si>
  <si>
    <t>殺虫剤</t>
  </si>
  <si>
    <t xml:space="preserve">    うち蚊取線香</t>
  </si>
  <si>
    <t xml:space="preserve">    うち電気蚊取</t>
  </si>
  <si>
    <t>殺ソ剤</t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</si>
  <si>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</si>
  <si>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4"/>
  </si>
  <si>
    <t>注１）昭和60年は、「その他の個々の器官系用薬」の数値である。</t>
    <phoneticPr fontId="4"/>
  </si>
  <si>
    <t>注２）その他の治療を主目的としない医薬品</t>
  </si>
  <si>
    <t>資料：薬務課「薬務事業概要」</t>
  </si>
  <si>
    <t>Ｉ-07 酒類製成及び消費量</t>
  </si>
  <si>
    <t xml:space="preserve">       単位：kl</t>
  </si>
  <si>
    <t xml:space="preserve"> 製成数量</t>
  </si>
  <si>
    <t xml:space="preserve">   総数</t>
  </si>
  <si>
    <t xml:space="preserve">  しょう</t>
  </si>
  <si>
    <t xml:space="preserve"> 注)</t>
  </si>
  <si>
    <t xml:space="preserve">  清  酒</t>
  </si>
  <si>
    <t xml:space="preserve"> 合成清酒</t>
  </si>
  <si>
    <t xml:space="preserve">  ちゅう</t>
  </si>
  <si>
    <t>みりん</t>
  </si>
  <si>
    <t>ビ－ル</t>
  </si>
  <si>
    <t xml:space="preserve"> 果実酒類</t>
  </si>
  <si>
    <t xml:space="preserve"> ｳｲｽｷ-類</t>
  </si>
  <si>
    <t>昭和50年度1975</t>
  </si>
  <si>
    <t>　　55　  1980</t>
  </si>
  <si>
    <t>　　60　  1985</t>
  </si>
  <si>
    <t>　　63    1988</t>
  </si>
  <si>
    <t>平成元　  1989</t>
  </si>
  <si>
    <t>　　 2    1990</t>
  </si>
  <si>
    <t>　　 3　  1991</t>
  </si>
  <si>
    <t>　　 4　  1992</t>
  </si>
  <si>
    <t>　　 5 　 1993</t>
  </si>
  <si>
    <t>　　 6 　 1994</t>
  </si>
  <si>
    <t>　　 7 　 1995</t>
  </si>
  <si>
    <t>　　 8 　 1996</t>
  </si>
  <si>
    <t>　　 9 　 1997</t>
  </si>
  <si>
    <t>　　10 　 1998</t>
  </si>
  <si>
    <t>　　11 　 1999</t>
    <phoneticPr fontId="4"/>
  </si>
  <si>
    <t>　　12 　 2000</t>
    <phoneticPr fontId="4"/>
  </si>
  <si>
    <t>　　13 　 2001</t>
    <phoneticPr fontId="4"/>
  </si>
  <si>
    <t xml:space="preserve"> 販売（消費）数量</t>
  </si>
  <si>
    <t>　 総数</t>
  </si>
  <si>
    <t>　　10 　 1998</t>
    <phoneticPr fontId="4"/>
  </si>
  <si>
    <t>注)その他とは、スピリッツ類、リキュ－ル類、雑酒</t>
    <phoneticPr fontId="4"/>
  </si>
  <si>
    <t>資料：国税庁「国税庁統計年報書」</t>
  </si>
  <si>
    <t>Ｉ-08 鉱工業生産指数</t>
  </si>
  <si>
    <r>
      <t xml:space="preserve">        　平成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)=100</t>
    </r>
    <phoneticPr fontId="4"/>
  </si>
  <si>
    <t xml:space="preserve"> 製造工業</t>
  </si>
  <si>
    <t xml:space="preserve"> 非鉄金</t>
  </si>
  <si>
    <t xml:space="preserve"> 金属製</t>
  </si>
  <si>
    <t xml:space="preserve"> 一般機</t>
  </si>
  <si>
    <t xml:space="preserve"> 電気機</t>
  </si>
  <si>
    <t xml:space="preserve"> 精密機</t>
  </si>
  <si>
    <t>窯業・土石</t>
    <rPh sb="0" eb="2">
      <t>ヨウギョウ</t>
    </rPh>
    <rPh sb="3" eb="5">
      <t>ドセキ</t>
    </rPh>
    <phoneticPr fontId="4"/>
  </si>
  <si>
    <t xml:space="preserve"> 化学</t>
    <rPh sb="1" eb="3">
      <t>カガク</t>
    </rPh>
    <phoneticPr fontId="4"/>
  </si>
  <si>
    <t xml:space="preserve"> 鉄鋼業</t>
  </si>
  <si>
    <t xml:space="preserve"> 属工業</t>
  </si>
  <si>
    <t xml:space="preserve"> 品工業</t>
  </si>
  <si>
    <t xml:space="preserve"> 械工業</t>
  </si>
  <si>
    <t xml:space="preserve"> 製品工業</t>
  </si>
  <si>
    <t xml:space="preserve"> 工業</t>
    <phoneticPr fontId="4"/>
  </si>
  <si>
    <t>　品 目 数</t>
  </si>
  <si>
    <t>　 ｳ ｴ ｲ ﾄ</t>
  </si>
  <si>
    <t>［暦年　原指数］</t>
    <rPh sb="4" eb="7">
      <t>ゲンシスウ</t>
    </rPh>
    <phoneticPr fontId="4"/>
  </si>
  <si>
    <r>
      <t>　平成1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8</t>
    </r>
    <rPh sb="1" eb="3">
      <t>ヘイセイ</t>
    </rPh>
    <rPh sb="5" eb="6">
      <t>ネン</t>
    </rPh>
    <phoneticPr fontId="4"/>
  </si>
  <si>
    <t>X</t>
    <phoneticPr fontId="4"/>
  </si>
  <si>
    <r>
      <t xml:space="preserve">      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 xml:space="preserve">  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</si>
  <si>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r>
      <t xml:space="preserve">      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</si>
  <si>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r>
      <t xml:space="preserve">      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200</t>
    </r>
    <r>
      <rPr>
        <sz val="14"/>
        <rFont val="ＭＳ 明朝"/>
        <family val="1"/>
        <charset val="128"/>
      </rPr>
      <t>1</t>
    </r>
    <phoneticPr fontId="4"/>
  </si>
  <si>
    <t xml:space="preserve">      14   2002</t>
    <phoneticPr fontId="4"/>
  </si>
  <si>
    <t>［年度　原指数］</t>
    <rPh sb="4" eb="7">
      <t>ゲンシスウ</t>
    </rPh>
    <phoneticPr fontId="4"/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</si>
  <si>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4"/>
        <rFont val="ＭＳ 明朝"/>
        <family val="1"/>
        <charset val="128"/>
      </rPr>
      <t>年度199</t>
    </r>
    <r>
      <rPr>
        <sz val="11"/>
        <color theme="1"/>
        <rFont val="ＭＳ Ｐゴシック"/>
        <family val="2"/>
        <charset val="128"/>
        <scheme val="minor"/>
      </rPr>
      <t>8</t>
    </r>
    <rPh sb="1" eb="3">
      <t>ヘイセイ</t>
    </rPh>
    <rPh sb="5" eb="6">
      <t>ネン</t>
    </rPh>
    <rPh sb="6" eb="7">
      <t>ド</t>
    </rPh>
    <phoneticPr fontId="4"/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</si>
  <si>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 xml:space="preserve">   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</si>
  <si>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 xml:space="preserve">   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</si>
  <si>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 xml:space="preserve">     13    2001</t>
    <phoneticPr fontId="4"/>
  </si>
  <si>
    <t>［原指数］</t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</si>
  <si>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1月</t>
    </r>
    <phoneticPr fontId="4"/>
  </si>
  <si>
    <t>　 2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</si>
  <si>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3</t>
    </r>
    <phoneticPr fontId="4"/>
  </si>
  <si>
    <t>　 4</t>
    <phoneticPr fontId="4"/>
  </si>
  <si>
    <t xml:space="preserve"> 　5</t>
    <phoneticPr fontId="4"/>
  </si>
  <si>
    <t>　 6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</si>
  <si>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7</t>
    </r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</si>
  <si>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>8</t>
    </r>
    <phoneticPr fontId="4"/>
  </si>
  <si>
    <t>　 9</t>
    <phoneticPr fontId="4"/>
  </si>
  <si>
    <t xml:space="preserve">  10</t>
    <phoneticPr fontId="4"/>
  </si>
  <si>
    <t>　11</t>
    <phoneticPr fontId="4"/>
  </si>
  <si>
    <t>　12</t>
    <phoneticPr fontId="4"/>
  </si>
  <si>
    <t xml:space="preserve">    ［季節調整済指数］</t>
  </si>
  <si>
    <t>資料：県統計課「和歌山県鉱工業生産指数」</t>
  </si>
  <si>
    <t>Ｉ-08 鉱工業生産指数－続き－</t>
  </si>
  <si>
    <r>
      <t xml:space="preserve">        　平成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)=100</t>
    </r>
    <phoneticPr fontId="4"/>
  </si>
  <si>
    <t>製造工業－続き－</t>
  </si>
  <si>
    <t>《参考》</t>
  </si>
  <si>
    <t>石油･石炭</t>
  </si>
  <si>
    <t>ﾌﾟﾗｽﾁｯｸ</t>
  </si>
  <si>
    <t>ﾊﾟﾙﾌﾟ･紙･</t>
  </si>
  <si>
    <t>食料品</t>
    <phoneticPr fontId="4"/>
  </si>
  <si>
    <t xml:space="preserve"> その他</t>
  </si>
  <si>
    <t xml:space="preserve"> 機械工業</t>
  </si>
  <si>
    <t xml:space="preserve"> 公益事業</t>
    <rPh sb="1" eb="3">
      <t>コウエキ</t>
    </rPh>
    <rPh sb="3" eb="4">
      <t>ジ</t>
    </rPh>
    <phoneticPr fontId="4"/>
  </si>
  <si>
    <t>産業総合</t>
    <rPh sb="0" eb="2">
      <t>サンギョウ</t>
    </rPh>
    <rPh sb="2" eb="4">
      <t>ソウゴウ</t>
    </rPh>
    <phoneticPr fontId="4"/>
  </si>
  <si>
    <t xml:space="preserve"> 紙加工品</t>
  </si>
  <si>
    <t xml:space="preserve"> 繊維工業</t>
  </si>
  <si>
    <r>
      <t>工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業</t>
    </r>
    <phoneticPr fontId="4"/>
  </si>
  <si>
    <t xml:space="preserve"> 工業</t>
  </si>
  <si>
    <r>
      <t xml:space="preserve">      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 xml:space="preserve">  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</si>
  <si>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r>
      <t xml:space="preserve">      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</si>
  <si>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r>
      <t xml:space="preserve">      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200</t>
    </r>
    <r>
      <rPr>
        <sz val="14"/>
        <rFont val="ＭＳ 明朝"/>
        <family val="1"/>
        <charset val="128"/>
      </rPr>
      <t>1</t>
    </r>
    <phoneticPr fontId="4"/>
  </si>
  <si>
    <t xml:space="preserve">      14   2002</t>
    <phoneticPr fontId="4"/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</si>
  <si>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 xml:space="preserve">   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</si>
  <si>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 xml:space="preserve">   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</si>
  <si>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 xml:space="preserve">     13    2001</t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</si>
  <si>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1月</t>
    </r>
    <phoneticPr fontId="4"/>
  </si>
  <si>
    <t>　 2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</si>
  <si>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3</t>
    </r>
    <phoneticPr fontId="4"/>
  </si>
  <si>
    <t>　 4</t>
    <phoneticPr fontId="4"/>
  </si>
  <si>
    <t xml:space="preserve"> 　5</t>
    <phoneticPr fontId="4"/>
  </si>
  <si>
    <t>　 6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</si>
  <si>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7</t>
    </r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</si>
  <si>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>8</t>
    </r>
    <phoneticPr fontId="4"/>
  </si>
  <si>
    <t>　 9</t>
    <phoneticPr fontId="4"/>
  </si>
  <si>
    <t xml:space="preserve">  10</t>
    <phoneticPr fontId="4"/>
  </si>
  <si>
    <t>　11</t>
    <phoneticPr fontId="4"/>
  </si>
  <si>
    <t>　12</t>
    <phoneticPr fontId="4"/>
  </si>
  <si>
    <t xml:space="preserve">   Ｉ-03 製造業の従業者規模別事業所数等</t>
  </si>
  <si>
    <t xml:space="preserve">          (従業者４人以上の事業所)</t>
  </si>
  <si>
    <t xml:space="preserve">  事業所数及び従業者数は12月31日現在、その他は年間。「従業者」は常用雇用者、個人</t>
    <rPh sb="41" eb="43">
      <t>コジン</t>
    </rPh>
    <phoneticPr fontId="4"/>
  </si>
  <si>
    <t>事業主及び無給家族従業者の合計。「現金給与総額」は基本給、諸手当、期末賞与、退職</t>
    <rPh sb="38" eb="40">
      <t>タイショク</t>
    </rPh>
    <phoneticPr fontId="4"/>
  </si>
  <si>
    <t>金、解雇予告手当等、支給された全ての給与額の合計。「原材料使用額等」は原材料使用</t>
    <rPh sb="37" eb="38">
      <t>リョウ</t>
    </rPh>
    <rPh sb="38" eb="40">
      <t>シヨウ</t>
    </rPh>
    <phoneticPr fontId="4"/>
  </si>
  <si>
    <t>額、燃料使用額、電力使用額（除く自家発電）及び委託生産費の合計。「製造品出荷額等」</t>
    <rPh sb="36" eb="39">
      <t>シュッカガク</t>
    </rPh>
    <rPh sb="39" eb="40">
      <t>トウ</t>
    </rPh>
    <phoneticPr fontId="4"/>
  </si>
  <si>
    <t>は製造品出荷額、加工賃収入額、修理料収入額、製造工程からでたくず、廃物の出荷額及</t>
    <rPh sb="34" eb="35">
      <t>ブツ</t>
    </rPh>
    <rPh sb="36" eb="39">
      <t>シュッカガク</t>
    </rPh>
    <rPh sb="39" eb="40">
      <t>オヨ</t>
    </rPh>
    <phoneticPr fontId="4"/>
  </si>
  <si>
    <t>びその他の収入額（冷蔵保管料、広告料及び自家発電の余剰電力販売収入額等）の合計。</t>
    <rPh sb="25" eb="27">
      <t>ヨジョウ</t>
    </rPh>
    <rPh sb="27" eb="29">
      <t>デンリョク</t>
    </rPh>
    <rPh sb="29" eb="31">
      <t>ハンバイ</t>
    </rPh>
    <rPh sb="31" eb="33">
      <t>シュウニュウ</t>
    </rPh>
    <rPh sb="33" eb="34">
      <t>ガク</t>
    </rPh>
    <rPh sb="34" eb="35">
      <t>トウ</t>
    </rPh>
    <rPh sb="37" eb="39">
      <t>ゴウケイ</t>
    </rPh>
    <phoneticPr fontId="4"/>
  </si>
  <si>
    <t>「付加価値額」＝生産額－原材料使用額等－減価償却額－出荷額に含まれる内国消費税額</t>
    <rPh sb="26" eb="29">
      <t>シュッカガク</t>
    </rPh>
    <rPh sb="30" eb="31">
      <t>フク</t>
    </rPh>
    <rPh sb="34" eb="35">
      <t>ウチ</t>
    </rPh>
    <rPh sb="35" eb="36">
      <t>クニ</t>
    </rPh>
    <rPh sb="36" eb="39">
      <t>ショウヒゼイ</t>
    </rPh>
    <rPh sb="39" eb="40">
      <t>ガク</t>
    </rPh>
    <phoneticPr fontId="4"/>
  </si>
  <si>
    <t xml:space="preserve">  原材料</t>
  </si>
  <si>
    <t xml:space="preserve">  製造品</t>
  </si>
  <si>
    <t>事業所数</t>
  </si>
  <si>
    <t>従業者数</t>
  </si>
  <si>
    <t xml:space="preserve">  出荷額等</t>
  </si>
  <si>
    <t xml:space="preserve"> 付加価値額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</si>
  <si>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4"/>
        <rFont val="ＭＳ 明朝"/>
        <family val="1"/>
        <charset val="128"/>
      </rPr>
      <t>年  199</t>
    </r>
    <r>
      <rPr>
        <sz val="11"/>
        <color theme="1"/>
        <rFont val="ＭＳ Ｐゴシック"/>
        <family val="2"/>
        <charset val="128"/>
        <scheme val="minor"/>
      </rPr>
      <t>8</t>
    </r>
    <rPh sb="1" eb="3">
      <t>ヘイセイ</t>
    </rPh>
    <rPh sb="5" eb="6">
      <t>ネン</t>
    </rPh>
    <phoneticPr fontId="4"/>
  </si>
  <si>
    <r>
      <t xml:space="preserve">  　 11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</si>
  <si>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 xml:space="preserve">  　 12    2000</t>
    <phoneticPr fontId="4"/>
  </si>
  <si>
    <t xml:space="preserve">  　 13    2001</t>
    <phoneticPr fontId="4"/>
  </si>
  <si>
    <t>従業者規模</t>
  </si>
  <si>
    <t xml:space="preserve">      4～  9人</t>
  </si>
  <si>
    <t xml:space="preserve">     10～ 19</t>
  </si>
  <si>
    <t xml:space="preserve">     20～ 29</t>
  </si>
  <si>
    <t xml:space="preserve">     30～ 99</t>
  </si>
  <si>
    <t xml:space="preserve">    100～299</t>
  </si>
  <si>
    <t xml:space="preserve">    300人以上</t>
  </si>
  <si>
    <t>資料：経済産業省経済産業政策局「工業統計表」</t>
    <rPh sb="3" eb="5">
      <t>ケイザイ</t>
    </rPh>
    <rPh sb="5" eb="7">
      <t>サンギョウ</t>
    </rPh>
    <rPh sb="8" eb="10">
      <t>ケイザイ</t>
    </rPh>
    <rPh sb="10" eb="15">
      <t>サンギョウキョク</t>
    </rPh>
    <phoneticPr fontId="4"/>
  </si>
  <si>
    <t>　　　　注）従業者 9人以下は粗付加価値額</t>
    <phoneticPr fontId="4"/>
  </si>
  <si>
    <t xml:space="preserve">    Ｉ-04 製造業産業中分類別事業所数等</t>
  </si>
  <si>
    <t>(従業者４人以上の事業所)</t>
  </si>
  <si>
    <t xml:space="preserve">  調査の概要は、I-03 製造業の従業者規模別事業所数等の説明を参照</t>
    <phoneticPr fontId="4"/>
  </si>
  <si>
    <t>製造業 総数</t>
  </si>
  <si>
    <t xml:space="preserve"> 注1）</t>
  </si>
  <si>
    <t>　百万円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</si>
  <si>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年 198</t>
    </r>
    <r>
      <rPr>
        <sz val="11"/>
        <color theme="1"/>
        <rFont val="ＭＳ Ｐゴシック"/>
        <family val="2"/>
        <charset val="128"/>
        <scheme val="minor"/>
      </rPr>
      <t>1</t>
    </r>
    <rPh sb="0" eb="2">
      <t>ショウワ</t>
    </rPh>
    <rPh sb="4" eb="5">
      <t>ネン</t>
    </rPh>
    <phoneticPr fontId="4"/>
  </si>
  <si>
    <t xml:space="preserve">    57   1982</t>
  </si>
  <si>
    <t xml:space="preserve">    58   1983</t>
  </si>
  <si>
    <t xml:space="preserve">    59   1984</t>
  </si>
  <si>
    <t xml:space="preserve">    60   1985</t>
  </si>
  <si>
    <t xml:space="preserve">    61   1986</t>
  </si>
  <si>
    <t xml:space="preserve">    62   1987</t>
  </si>
  <si>
    <t xml:space="preserve">    63   1988</t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</si>
  <si>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</si>
  <si>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</si>
  <si>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</si>
  <si>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</si>
  <si>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</si>
  <si>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</si>
  <si>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</si>
  <si>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</si>
  <si>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</si>
  <si>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</si>
  <si>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11   1999</t>
    </r>
    <phoneticPr fontId="4"/>
  </si>
  <si>
    <t xml:space="preserve">    12   2000</t>
    <phoneticPr fontId="4"/>
  </si>
  <si>
    <t xml:space="preserve">    13   2001</t>
    <phoneticPr fontId="4"/>
  </si>
  <si>
    <t>　　　注1）従業者 9人以下は粗付加価値額</t>
    <phoneticPr fontId="4"/>
  </si>
  <si>
    <t>Ｉ-04 製造業産業中分類別事業所数等－続き－</t>
  </si>
  <si>
    <t xml:space="preserve">       (従業者４人以上の事業所)</t>
  </si>
  <si>
    <t>調査の概要は、I-03 の説明を参照</t>
    <phoneticPr fontId="4"/>
  </si>
  <si>
    <t>食料品（昭和59年以前は，飲料･飼料･たばこ製造業を含む）</t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</si>
  <si>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1999</t>
    </r>
    <phoneticPr fontId="4"/>
  </si>
  <si>
    <t xml:space="preserve">    12   2000</t>
    <phoneticPr fontId="4"/>
  </si>
  <si>
    <t xml:space="preserve">    13   2001</t>
    <phoneticPr fontId="4"/>
  </si>
  <si>
    <t>飲料･飼料･たばこ（昭和60年以降は，日本タバコ産業㈱を含む）</t>
  </si>
  <si>
    <t>－</t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</si>
  <si>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1999</t>
    </r>
    <phoneticPr fontId="4"/>
  </si>
  <si>
    <t xml:space="preserve">    12   2000</t>
    <phoneticPr fontId="4"/>
  </si>
  <si>
    <t xml:space="preserve">    13   2001</t>
    <phoneticPr fontId="4"/>
  </si>
  <si>
    <t>　　　注1）従業者 9人以下は粗付加価値額</t>
    <phoneticPr fontId="4"/>
  </si>
  <si>
    <t>調査の概要は、I-03 の説明を参照</t>
    <phoneticPr fontId="4"/>
  </si>
  <si>
    <t>繊維工業</t>
  </si>
  <si>
    <t>衣服･その他繊維製品</t>
  </si>
  <si>
    <t>　　　注1）従業者 9人以下は粗付加価値額</t>
    <phoneticPr fontId="4"/>
  </si>
  <si>
    <t>調査の概要は、I-03 の説明を参照</t>
    <phoneticPr fontId="4"/>
  </si>
  <si>
    <t>木材・木製品</t>
  </si>
  <si>
    <t>家具・装備品</t>
  </si>
  <si>
    <t>パルプ・紙・紙加工品</t>
  </si>
  <si>
    <t>出版･印刷･同関連産業</t>
  </si>
  <si>
    <t>化学工業</t>
  </si>
  <si>
    <t>石油製品・石炭製品</t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</si>
  <si>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1999</t>
    </r>
    <phoneticPr fontId="4"/>
  </si>
  <si>
    <t xml:space="preserve">    12   2000</t>
    <phoneticPr fontId="4"/>
  </si>
  <si>
    <t xml:space="preserve">    13   2001</t>
    <phoneticPr fontId="4"/>
  </si>
  <si>
    <t>　　　注1）従業者 9人以下は粗付加価値額</t>
    <phoneticPr fontId="4"/>
  </si>
  <si>
    <t>調査の概要は、I-03 の説明を参照</t>
    <phoneticPr fontId="4"/>
  </si>
  <si>
    <t>プラスチック製品</t>
  </si>
  <si>
    <t xml:space="preserve"> 注2）</t>
  </si>
  <si>
    <t>－</t>
    <phoneticPr fontId="4"/>
  </si>
  <si>
    <t>ゴム製品</t>
  </si>
  <si>
    <t>　　資料：経済産業省経済産業政策局</t>
    <rPh sb="5" eb="7">
      <t>ケイザイ</t>
    </rPh>
    <rPh sb="7" eb="9">
      <t>サンギョウ</t>
    </rPh>
    <rPh sb="10" eb="12">
      <t>ケイザイ</t>
    </rPh>
    <rPh sb="12" eb="17">
      <t>サンギョウキョク</t>
    </rPh>
    <phoneticPr fontId="4"/>
  </si>
  <si>
    <t>注1)昭和60年産業分類改訂で、その他の製造業から分離</t>
    <phoneticPr fontId="4"/>
  </si>
  <si>
    <t>　「工業統計表」</t>
    <rPh sb="2" eb="4">
      <t>コウギョウ</t>
    </rPh>
    <rPh sb="4" eb="7">
      <t>トウケイヒョウ</t>
    </rPh>
    <phoneticPr fontId="4"/>
  </si>
  <si>
    <t xml:space="preserve">注2)従業者 9人以下は粗付加価値額 </t>
    <phoneticPr fontId="4"/>
  </si>
  <si>
    <t>なめし革･同製品･毛皮</t>
  </si>
  <si>
    <t>窯業・土石製品</t>
  </si>
  <si>
    <t>鉄鋼業</t>
  </si>
  <si>
    <t>非鉄金属</t>
  </si>
  <si>
    <t>X</t>
    <phoneticPr fontId="4"/>
  </si>
  <si>
    <t>資料：経済産業省経済産業政策局「工業統計表」</t>
    <rPh sb="3" eb="5">
      <t>ケイザイ</t>
    </rPh>
    <rPh sb="5" eb="7">
      <t>サンギョウ</t>
    </rPh>
    <rPh sb="8" eb="10">
      <t>ケイザイ</t>
    </rPh>
    <rPh sb="10" eb="12">
      <t>サンギョウ</t>
    </rPh>
    <rPh sb="12" eb="14">
      <t>セイサク</t>
    </rPh>
    <rPh sb="14" eb="15">
      <t>キョク</t>
    </rPh>
    <phoneticPr fontId="4"/>
  </si>
  <si>
    <t>金属製品</t>
  </si>
  <si>
    <t>一般機械器具</t>
  </si>
  <si>
    <t>電気機械器具</t>
  </si>
  <si>
    <t>輸送用機械器具</t>
  </si>
  <si>
    <t>資料：経済産業省経済産業政策局「工業統計表」</t>
    <rPh sb="3" eb="5">
      <t>ケイザイ</t>
    </rPh>
    <rPh sb="5" eb="7">
      <t>サンギョウキョク</t>
    </rPh>
    <rPh sb="8" eb="10">
      <t>ケイザイ</t>
    </rPh>
    <rPh sb="10" eb="15">
      <t>サンギョウキョク</t>
    </rPh>
    <phoneticPr fontId="4"/>
  </si>
  <si>
    <t>精密機械器具</t>
  </si>
  <si>
    <t xml:space="preserve">    その他の製造（昭和59年以前は，プラスチック製品製造業を含む）</t>
  </si>
  <si>
    <t>Ｉ　鉱業・製造業</t>
  </si>
  <si>
    <t xml:space="preserve">   Ｉ-01 砕石生産量，出荷量</t>
  </si>
  <si>
    <t>調査の対象範囲は、砕石法及び鉱業法に定められた鉱物のうち、石灰石・</t>
    <phoneticPr fontId="4"/>
  </si>
  <si>
    <t>けい石・ドロマイトを砕石し、これを砕石している事業所。砂利採取法の</t>
    <phoneticPr fontId="4"/>
  </si>
  <si>
    <t>砂利及び鉱業法・鉱山保安法の鉱さいを取り扱う事業所は含まない。</t>
  </si>
  <si>
    <t xml:space="preserve">         単位：千ﾄﾝ</t>
    <phoneticPr fontId="4"/>
  </si>
  <si>
    <t xml:space="preserve">   砕石出荷量    ［出荷先府県別］</t>
  </si>
  <si>
    <t xml:space="preserve">   砕石生産量     ［用途別］</t>
  </si>
  <si>
    <t xml:space="preserve"> 総数</t>
  </si>
  <si>
    <t xml:space="preserve"> 県内</t>
  </si>
  <si>
    <t xml:space="preserve"> 大阪府</t>
  </si>
  <si>
    <t xml:space="preserve"> 奈良県</t>
  </si>
  <si>
    <t xml:space="preserve"> 道路用</t>
  </si>
  <si>
    <t>ｺﾝｸﾘ-ﾄ用</t>
  </si>
  <si>
    <t>昭和55年1980</t>
  </si>
  <si>
    <t xml:space="preserve">    60  1985</t>
  </si>
  <si>
    <t>平成 2  1990</t>
  </si>
  <si>
    <t xml:space="preserve">     7  1995</t>
  </si>
  <si>
    <t xml:space="preserve">    11  1999</t>
  </si>
  <si>
    <t xml:space="preserve">    12  2000</t>
  </si>
  <si>
    <t xml:space="preserve">    13  2001</t>
  </si>
  <si>
    <t xml:space="preserve">    14  2002</t>
    <phoneticPr fontId="4"/>
  </si>
  <si>
    <t xml:space="preserve">       1月</t>
  </si>
  <si>
    <t xml:space="preserve"> ┐</t>
  </si>
  <si>
    <t xml:space="preserve">       2</t>
  </si>
  <si>
    <t xml:space="preserve"> ├     8     </t>
  </si>
  <si>
    <t xml:space="preserve">       3</t>
  </si>
  <si>
    <t xml:space="preserve"> ┘</t>
  </si>
  <si>
    <t xml:space="preserve">       4</t>
  </si>
  <si>
    <t xml:space="preserve">       5</t>
  </si>
  <si>
    <t xml:space="preserve"> ├     8</t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</si>
  <si>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</si>
  <si>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</si>
  <si>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</si>
  <si>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</si>
  <si>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</si>
  <si>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</si>
  <si>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</si>
  <si>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>資料：経済産業省「砕石統計年報」</t>
    <rPh sb="3" eb="5">
      <t>ケイザイ</t>
    </rPh>
    <rPh sb="5" eb="7">
      <t>サンギョウ</t>
    </rPh>
    <rPh sb="7" eb="8">
      <t>ショウ</t>
    </rPh>
    <phoneticPr fontId="4"/>
  </si>
  <si>
    <t>Ｉ-02 生コンクリ－ト</t>
  </si>
  <si>
    <t>生コンクリ－ト</t>
  </si>
  <si>
    <t xml:space="preserve">     ［需要先別出荷数量］</t>
  </si>
  <si>
    <t xml:space="preserve"> 年,月末</t>
  </si>
  <si>
    <t xml:space="preserve"> 出荷量</t>
  </si>
  <si>
    <t xml:space="preserve"> 出荷金額</t>
  </si>
  <si>
    <t xml:space="preserve">  常用</t>
  </si>
  <si>
    <t>総数</t>
  </si>
  <si>
    <t xml:space="preserve"> 土木用</t>
  </si>
  <si>
    <t xml:space="preserve"> 道路</t>
  </si>
  <si>
    <t xml:space="preserve"> 建築用</t>
  </si>
  <si>
    <t xml:space="preserve"> 官公需</t>
  </si>
  <si>
    <t xml:space="preserve"> 民需</t>
  </si>
  <si>
    <t xml:space="preserve"> 労働者数</t>
  </si>
  <si>
    <t>千ｍ3</t>
  </si>
  <si>
    <t xml:space="preserve">    14  2002</t>
    <phoneticPr fontId="4"/>
  </si>
  <si>
    <t>資料：経済産業省「生コンクリ－ト統計年報」</t>
    <rPh sb="3" eb="5">
      <t>ケイザイ</t>
    </rPh>
    <rPh sb="5" eb="7">
      <t>サンギョウ</t>
    </rPh>
    <rPh sb="7" eb="8">
      <t>ツウサンショウ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</si>
</sst>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11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0" xfId="1" applyFont="1" applyProtection="1">
      <protection locked="0"/>
    </xf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3" xfId="1" applyFont="1" applyBorder="1"/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1" xfId="1" applyFont="1" applyBorder="1" applyProtection="1"/>
    <xf numFmtId="37" fontId="1" fillId="0" borderId="5" xfId="1" applyFont="1" applyBorder="1" applyProtection="1">
      <protection locked="0"/>
    </xf>
    <xf numFmtId="37" fontId="3" fillId="0" borderId="1" xfId="1" applyFont="1" applyBorder="1" applyProtection="1">
      <protection locked="0"/>
    </xf>
    <xf numFmtId="37" fontId="1" fillId="0" borderId="1" xfId="1" applyNumberFormat="1" applyFont="1" applyBorder="1" applyProtection="1">
      <protection locked="0"/>
    </xf>
    <xf numFmtId="37" fontId="1" fillId="0" borderId="0" xfId="1" applyNumberFormat="1" applyFont="1" applyProtection="1"/>
    <xf numFmtId="37" fontId="1" fillId="0" borderId="0" xfId="1" applyFont="1" applyBorder="1"/>
    <xf numFmtId="49" fontId="1" fillId="0" borderId="2" xfId="1" applyNumberFormat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center"/>
    </xf>
    <xf numFmtId="37" fontId="3" fillId="0" borderId="0" xfId="1" applyFont="1" applyBorder="1" applyProtection="1"/>
    <xf numFmtId="37" fontId="3" fillId="0" borderId="0" xfId="1" applyFont="1"/>
    <xf numFmtId="37" fontId="1" fillId="0" borderId="0" xfId="1" applyFont="1" applyBorder="1" applyProtection="1"/>
    <xf numFmtId="37" fontId="1" fillId="0" borderId="0" xfId="1" applyFont="1" applyFill="1" applyBorder="1"/>
    <xf numFmtId="37" fontId="1" fillId="0" borderId="0" xfId="1" applyFont="1" applyBorder="1" applyAlignment="1" applyProtection="1">
      <alignment horizontal="right"/>
    </xf>
    <xf numFmtId="37" fontId="1" fillId="0" borderId="1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/>
    <xf numFmtId="37" fontId="1" fillId="0" borderId="4" xfId="1" applyFont="1" applyBorder="1" applyAlignment="1" applyProtection="1">
      <alignment horizontal="right"/>
    </xf>
    <xf numFmtId="37" fontId="1" fillId="0" borderId="2" xfId="1" applyFont="1" applyBorder="1" applyProtection="1"/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1" xfId="2" applyFont="1" applyBorder="1" applyAlignment="1" applyProtection="1">
      <alignment horizontal="left"/>
    </xf>
    <xf numFmtId="176" fontId="1" fillId="0" borderId="1" xfId="2" applyFont="1" applyBorder="1" applyAlignment="1">
      <alignment horizontal="left"/>
    </xf>
    <xf numFmtId="176" fontId="1" fillId="0" borderId="3" xfId="2" applyFont="1" applyBorder="1"/>
    <xf numFmtId="176" fontId="1" fillId="0" borderId="7" xfId="2" applyFont="1" applyBorder="1"/>
    <xf numFmtId="176" fontId="1" fillId="0" borderId="2" xfId="2" applyFont="1" applyBorder="1"/>
    <xf numFmtId="176" fontId="1" fillId="0" borderId="8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2" xfId="2" applyFont="1" applyBorder="1" applyAlignment="1" applyProtection="1">
      <alignment horizontal="left" shrinkToFit="1"/>
    </xf>
    <xf numFmtId="176" fontId="1" fillId="0" borderId="2" xfId="2" applyFont="1" applyBorder="1" applyAlignment="1" applyProtection="1">
      <alignment horizontal="center"/>
    </xf>
    <xf numFmtId="176" fontId="1" fillId="0" borderId="4" xfId="2" applyFont="1" applyBorder="1"/>
    <xf numFmtId="176" fontId="1" fillId="0" borderId="4" xfId="2" applyFont="1" applyBorder="1" applyAlignment="1" applyProtection="1">
      <alignment horizontal="left"/>
    </xf>
    <xf numFmtId="176" fontId="1" fillId="0" borderId="4" xfId="2" applyFont="1" applyBorder="1" applyAlignment="1" applyProtection="1">
      <alignment horizontal="center"/>
    </xf>
    <xf numFmtId="176" fontId="1" fillId="0" borderId="9" xfId="2" applyFont="1" applyBorder="1"/>
    <xf numFmtId="176" fontId="1" fillId="0" borderId="3" xfId="2" applyFont="1" applyBorder="1" applyAlignment="1" applyProtection="1">
      <alignment horizontal="left"/>
    </xf>
    <xf numFmtId="176" fontId="1" fillId="0" borderId="10" xfId="2" applyFont="1" applyBorder="1"/>
    <xf numFmtId="37" fontId="1" fillId="0" borderId="3" xfId="2" applyNumberFormat="1" applyFont="1" applyBorder="1" applyProtection="1"/>
    <xf numFmtId="37" fontId="1" fillId="0" borderId="3" xfId="2" applyNumberFormat="1" applyFont="1" applyBorder="1" applyProtection="1">
      <protection locked="0"/>
    </xf>
    <xf numFmtId="176" fontId="1" fillId="0" borderId="3" xfId="2" applyFont="1" applyBorder="1" applyProtection="1"/>
    <xf numFmtId="176" fontId="1" fillId="0" borderId="3" xfId="2" applyFont="1" applyBorder="1" applyProtection="1">
      <protection locked="0"/>
    </xf>
    <xf numFmtId="177" fontId="1" fillId="0" borderId="3" xfId="2" applyNumberFormat="1" applyFont="1" applyBorder="1" applyProtection="1">
      <protection locked="0"/>
    </xf>
    <xf numFmtId="176" fontId="1" fillId="0" borderId="11" xfId="2" applyFont="1" applyBorder="1"/>
    <xf numFmtId="176" fontId="1" fillId="0" borderId="0" xfId="2" applyFont="1" applyProtection="1">
      <protection locked="0"/>
    </xf>
    <xf numFmtId="176" fontId="1" fillId="0" borderId="0" xfId="2" applyFont="1" applyAlignment="1" applyProtection="1">
      <alignment horizontal="right"/>
      <protection locked="0"/>
    </xf>
    <xf numFmtId="176" fontId="3" fillId="0" borderId="11" xfId="2" applyFont="1" applyBorder="1"/>
    <xf numFmtId="176" fontId="3" fillId="0" borderId="0" xfId="2" applyFont="1" applyProtection="1">
      <protection locked="0"/>
    </xf>
    <xf numFmtId="176" fontId="3" fillId="0" borderId="0" xfId="2" applyFont="1" applyAlignment="1" applyProtection="1">
      <alignment horizontal="right"/>
      <protection locked="0"/>
    </xf>
    <xf numFmtId="49" fontId="1" fillId="0" borderId="11" xfId="2" applyNumberFormat="1" applyFont="1" applyBorder="1" applyAlignment="1" applyProtection="1">
      <alignment horizontal="left"/>
    </xf>
    <xf numFmtId="176" fontId="3" fillId="0" borderId="0" xfId="2" applyFont="1" applyProtection="1"/>
    <xf numFmtId="176" fontId="3" fillId="0" borderId="1" xfId="2" applyFont="1" applyBorder="1" applyProtection="1"/>
    <xf numFmtId="176" fontId="3" fillId="0" borderId="12" xfId="2" applyFont="1" applyBorder="1" applyProtection="1"/>
    <xf numFmtId="176" fontId="1" fillId="0" borderId="1" xfId="2" applyFont="1" applyBorder="1" applyProtection="1">
      <protection locked="0"/>
    </xf>
    <xf numFmtId="176" fontId="1" fillId="0" borderId="13" xfId="2" applyFont="1" applyBorder="1"/>
    <xf numFmtId="37" fontId="1" fillId="0" borderId="0" xfId="2" applyNumberFormat="1" applyFont="1" applyFill="1" applyBorder="1" applyProtection="1">
      <protection locked="0"/>
    </xf>
    <xf numFmtId="37" fontId="1" fillId="0" borderId="0" xfId="1" quotePrefix="1" applyFont="1" applyAlignment="1" applyProtection="1">
      <alignment horizontal="left"/>
    </xf>
    <xf numFmtId="37" fontId="1" fillId="0" borderId="0" xfId="1" applyFont="1" applyProtection="1"/>
    <xf numFmtId="37" fontId="3" fillId="0" borderId="0" xfId="1" quotePrefix="1" applyFont="1" applyAlignment="1" applyProtection="1">
      <alignment horizontal="left"/>
    </xf>
    <xf numFmtId="37" fontId="1" fillId="0" borderId="2" xfId="1" applyNumberFormat="1" applyFont="1" applyBorder="1" applyProtection="1"/>
    <xf numFmtId="37" fontId="3" fillId="0" borderId="2" xfId="1" applyNumberFormat="1" applyFont="1" applyBorder="1" applyProtection="1"/>
    <xf numFmtId="37" fontId="3" fillId="0" borderId="0" xfId="1" applyNumberFormat="1" applyFont="1" applyProtection="1"/>
    <xf numFmtId="39" fontId="1" fillId="0" borderId="5" xfId="1" applyNumberFormat="1" applyFont="1" applyBorder="1" applyProtection="1"/>
    <xf numFmtId="39" fontId="1" fillId="0" borderId="1" xfId="1" applyNumberFormat="1" applyFont="1" applyBorder="1" applyProtection="1"/>
    <xf numFmtId="37" fontId="1" fillId="0" borderId="1" xfId="1" applyNumberFormat="1" applyFont="1" applyBorder="1" applyProtection="1"/>
    <xf numFmtId="37" fontId="3" fillId="0" borderId="2" xfId="1" applyFont="1" applyBorder="1" applyProtection="1">
      <protection locked="0"/>
    </xf>
    <xf numFmtId="37" fontId="5" fillId="0" borderId="0" xfId="1" applyFont="1" applyAlignment="1" applyProtection="1">
      <alignment horizontal="left"/>
    </xf>
    <xf numFmtId="37" fontId="1" fillId="0" borderId="2" xfId="1" quotePrefix="1" applyFont="1" applyBorder="1" applyAlignment="1" applyProtection="1">
      <alignment horizontal="left"/>
      <protection locked="0"/>
    </xf>
    <xf numFmtId="37" fontId="1" fillId="0" borderId="2" xfId="1" applyFont="1" applyBorder="1" applyAlignment="1" applyProtection="1">
      <alignment horizontal="right"/>
    </xf>
    <xf numFmtId="176" fontId="1" fillId="0" borderId="2" xfId="1" applyNumberFormat="1" applyFont="1" applyBorder="1" applyProtection="1"/>
    <xf numFmtId="176" fontId="1" fillId="0" borderId="0" xfId="1" applyNumberFormat="1" applyFont="1" applyProtection="1">
      <protection locked="0"/>
    </xf>
    <xf numFmtId="176" fontId="1" fillId="0" borderId="0" xfId="1" applyNumberFormat="1" applyFont="1" applyProtection="1"/>
    <xf numFmtId="176" fontId="1" fillId="0" borderId="0" xfId="1" applyNumberFormat="1" applyFont="1" applyBorder="1" applyProtection="1">
      <protection locked="0"/>
    </xf>
    <xf numFmtId="176" fontId="1" fillId="0" borderId="0" xfId="1" applyNumberFormat="1" applyFont="1" applyBorder="1" applyProtection="1"/>
    <xf numFmtId="37" fontId="1" fillId="0" borderId="0" xfId="1" applyFont="1" applyBorder="1" applyProtection="1">
      <protection locked="0"/>
    </xf>
    <xf numFmtId="37" fontId="1" fillId="0" borderId="0" xfId="1" applyNumberFormat="1" applyFont="1" applyBorder="1" applyProtection="1">
      <protection locked="0"/>
    </xf>
    <xf numFmtId="37" fontId="1" fillId="0" borderId="0" xfId="1" applyNumberFormat="1" applyFont="1" applyBorder="1" applyProtection="1"/>
    <xf numFmtId="177" fontId="1" fillId="0" borderId="0" xfId="1" applyNumberFormat="1" applyFont="1" applyBorder="1" applyProtection="1">
      <protection locked="0"/>
    </xf>
    <xf numFmtId="177" fontId="1" fillId="0" borderId="0" xfId="1" applyNumberFormat="1" applyFont="1" applyBorder="1"/>
    <xf numFmtId="37" fontId="3" fillId="0" borderId="0" xfId="1" applyFont="1" applyBorder="1"/>
    <xf numFmtId="176" fontId="3" fillId="0" borderId="2" xfId="1" applyNumberFormat="1" applyFont="1" applyBorder="1" applyProtection="1"/>
    <xf numFmtId="176" fontId="3" fillId="0" borderId="0" xfId="1" applyNumberFormat="1" applyFont="1" applyBorder="1" applyProtection="1">
      <protection locked="0"/>
    </xf>
    <xf numFmtId="176" fontId="3" fillId="0" borderId="0" xfId="1" applyNumberFormat="1" applyFont="1" applyBorder="1" applyProtection="1"/>
    <xf numFmtId="177" fontId="3" fillId="0" borderId="0" xfId="1" applyNumberFormat="1" applyFont="1" applyBorder="1" applyProtection="1">
      <protection locked="0"/>
    </xf>
    <xf numFmtId="177" fontId="3" fillId="0" borderId="0" xfId="1" applyNumberFormat="1" applyFont="1" applyBorder="1"/>
    <xf numFmtId="37" fontId="3" fillId="0" borderId="0" xfId="1" applyFont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177" fontId="1" fillId="0" borderId="2" xfId="1" applyNumberFormat="1" applyFont="1" applyBorder="1"/>
    <xf numFmtId="37" fontId="1" fillId="0" borderId="0" xfId="1" applyFont="1" applyFill="1" applyBorder="1" applyProtection="1">
      <protection locked="0"/>
    </xf>
    <xf numFmtId="37" fontId="1" fillId="0" borderId="1" xfId="1" applyFont="1" applyBorder="1" applyProtection="1"/>
    <xf numFmtId="176" fontId="1" fillId="0" borderId="5" xfId="1" applyNumberFormat="1" applyFont="1" applyBorder="1" applyProtection="1"/>
    <xf numFmtId="176" fontId="1" fillId="0" borderId="1" xfId="1" applyNumberFormat="1" applyFont="1" applyBorder="1" applyProtection="1"/>
    <xf numFmtId="177" fontId="1" fillId="0" borderId="1" xfId="1" applyNumberFormat="1" applyFont="1" applyBorder="1" applyProtection="1"/>
    <xf numFmtId="37" fontId="1" fillId="0" borderId="0" xfId="1" applyFont="1" applyAlignment="1" applyProtection="1">
      <alignment horizontal="left"/>
    </xf>
    <xf numFmtId="37" fontId="1" fillId="0" borderId="11" xfId="1" applyBorder="1" applyAlignment="1"/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38"/>
  <sheetViews>
    <sheetView showGridLines="0" zoomScale="75" workbookViewId="0">
      <selection activeCell="A40" sqref="A40:IV74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5" width="12.125" style="2"/>
    <col min="6" max="6" width="13.375" style="2" customWidth="1"/>
    <col min="7" max="7" width="12.125" style="2"/>
    <col min="8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1" width="12.125" style="2"/>
    <col min="262" max="262" width="13.375" style="2" customWidth="1"/>
    <col min="263" max="263" width="12.125" style="2"/>
    <col min="264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7" width="12.125" style="2"/>
    <col min="518" max="518" width="13.375" style="2" customWidth="1"/>
    <col min="519" max="519" width="12.125" style="2"/>
    <col min="520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3" width="12.125" style="2"/>
    <col min="774" max="774" width="13.375" style="2" customWidth="1"/>
    <col min="775" max="775" width="12.125" style="2"/>
    <col min="776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9" width="12.125" style="2"/>
    <col min="1030" max="1030" width="13.375" style="2" customWidth="1"/>
    <col min="1031" max="1031" width="12.125" style="2"/>
    <col min="1032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5" width="12.125" style="2"/>
    <col min="1286" max="1286" width="13.375" style="2" customWidth="1"/>
    <col min="1287" max="1287" width="12.125" style="2"/>
    <col min="1288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1" width="12.125" style="2"/>
    <col min="1542" max="1542" width="13.375" style="2" customWidth="1"/>
    <col min="1543" max="1543" width="12.125" style="2"/>
    <col min="1544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7" width="12.125" style="2"/>
    <col min="1798" max="1798" width="13.375" style="2" customWidth="1"/>
    <col min="1799" max="1799" width="12.125" style="2"/>
    <col min="1800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3" width="12.125" style="2"/>
    <col min="2054" max="2054" width="13.375" style="2" customWidth="1"/>
    <col min="2055" max="2055" width="12.125" style="2"/>
    <col min="2056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9" width="12.125" style="2"/>
    <col min="2310" max="2310" width="13.375" style="2" customWidth="1"/>
    <col min="2311" max="2311" width="12.125" style="2"/>
    <col min="2312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5" width="12.125" style="2"/>
    <col min="2566" max="2566" width="13.375" style="2" customWidth="1"/>
    <col min="2567" max="2567" width="12.125" style="2"/>
    <col min="2568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1" width="12.125" style="2"/>
    <col min="2822" max="2822" width="13.375" style="2" customWidth="1"/>
    <col min="2823" max="2823" width="12.125" style="2"/>
    <col min="2824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7" width="12.125" style="2"/>
    <col min="3078" max="3078" width="13.375" style="2" customWidth="1"/>
    <col min="3079" max="3079" width="12.125" style="2"/>
    <col min="3080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3" width="12.125" style="2"/>
    <col min="3334" max="3334" width="13.375" style="2" customWidth="1"/>
    <col min="3335" max="3335" width="12.125" style="2"/>
    <col min="3336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9" width="12.125" style="2"/>
    <col min="3590" max="3590" width="13.375" style="2" customWidth="1"/>
    <col min="3591" max="3591" width="12.125" style="2"/>
    <col min="3592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5" width="12.125" style="2"/>
    <col min="3846" max="3846" width="13.375" style="2" customWidth="1"/>
    <col min="3847" max="3847" width="12.125" style="2"/>
    <col min="3848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1" width="12.125" style="2"/>
    <col min="4102" max="4102" width="13.375" style="2" customWidth="1"/>
    <col min="4103" max="4103" width="12.125" style="2"/>
    <col min="4104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7" width="12.125" style="2"/>
    <col min="4358" max="4358" width="13.375" style="2" customWidth="1"/>
    <col min="4359" max="4359" width="12.125" style="2"/>
    <col min="4360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3" width="12.125" style="2"/>
    <col min="4614" max="4614" width="13.375" style="2" customWidth="1"/>
    <col min="4615" max="4615" width="12.125" style="2"/>
    <col min="4616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9" width="12.125" style="2"/>
    <col min="4870" max="4870" width="13.375" style="2" customWidth="1"/>
    <col min="4871" max="4871" width="12.125" style="2"/>
    <col min="4872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5" width="12.125" style="2"/>
    <col min="5126" max="5126" width="13.375" style="2" customWidth="1"/>
    <col min="5127" max="5127" width="12.125" style="2"/>
    <col min="5128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1" width="12.125" style="2"/>
    <col min="5382" max="5382" width="13.375" style="2" customWidth="1"/>
    <col min="5383" max="5383" width="12.125" style="2"/>
    <col min="5384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7" width="12.125" style="2"/>
    <col min="5638" max="5638" width="13.375" style="2" customWidth="1"/>
    <col min="5639" max="5639" width="12.125" style="2"/>
    <col min="5640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3" width="12.125" style="2"/>
    <col min="5894" max="5894" width="13.375" style="2" customWidth="1"/>
    <col min="5895" max="5895" width="12.125" style="2"/>
    <col min="5896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9" width="12.125" style="2"/>
    <col min="6150" max="6150" width="13.375" style="2" customWidth="1"/>
    <col min="6151" max="6151" width="12.125" style="2"/>
    <col min="6152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5" width="12.125" style="2"/>
    <col min="6406" max="6406" width="13.375" style="2" customWidth="1"/>
    <col min="6407" max="6407" width="12.125" style="2"/>
    <col min="6408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1" width="12.125" style="2"/>
    <col min="6662" max="6662" width="13.375" style="2" customWidth="1"/>
    <col min="6663" max="6663" width="12.125" style="2"/>
    <col min="6664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7" width="12.125" style="2"/>
    <col min="6918" max="6918" width="13.375" style="2" customWidth="1"/>
    <col min="6919" max="6919" width="12.125" style="2"/>
    <col min="6920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3" width="12.125" style="2"/>
    <col min="7174" max="7174" width="13.375" style="2" customWidth="1"/>
    <col min="7175" max="7175" width="12.125" style="2"/>
    <col min="7176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9" width="12.125" style="2"/>
    <col min="7430" max="7430" width="13.375" style="2" customWidth="1"/>
    <col min="7431" max="7431" width="12.125" style="2"/>
    <col min="7432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5" width="12.125" style="2"/>
    <col min="7686" max="7686" width="13.375" style="2" customWidth="1"/>
    <col min="7687" max="7687" width="12.125" style="2"/>
    <col min="7688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1" width="12.125" style="2"/>
    <col min="7942" max="7942" width="13.375" style="2" customWidth="1"/>
    <col min="7943" max="7943" width="12.125" style="2"/>
    <col min="7944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7" width="12.125" style="2"/>
    <col min="8198" max="8198" width="13.375" style="2" customWidth="1"/>
    <col min="8199" max="8199" width="12.125" style="2"/>
    <col min="8200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3" width="12.125" style="2"/>
    <col min="8454" max="8454" width="13.375" style="2" customWidth="1"/>
    <col min="8455" max="8455" width="12.125" style="2"/>
    <col min="8456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9" width="12.125" style="2"/>
    <col min="8710" max="8710" width="13.375" style="2" customWidth="1"/>
    <col min="8711" max="8711" width="12.125" style="2"/>
    <col min="8712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5" width="12.125" style="2"/>
    <col min="8966" max="8966" width="13.375" style="2" customWidth="1"/>
    <col min="8967" max="8967" width="12.125" style="2"/>
    <col min="8968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1" width="12.125" style="2"/>
    <col min="9222" max="9222" width="13.375" style="2" customWidth="1"/>
    <col min="9223" max="9223" width="12.125" style="2"/>
    <col min="9224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7" width="12.125" style="2"/>
    <col min="9478" max="9478" width="13.375" style="2" customWidth="1"/>
    <col min="9479" max="9479" width="12.125" style="2"/>
    <col min="9480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3" width="12.125" style="2"/>
    <col min="9734" max="9734" width="13.375" style="2" customWidth="1"/>
    <col min="9735" max="9735" width="12.125" style="2"/>
    <col min="9736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9" width="12.125" style="2"/>
    <col min="9990" max="9990" width="13.375" style="2" customWidth="1"/>
    <col min="9991" max="9991" width="12.125" style="2"/>
    <col min="9992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5" width="12.125" style="2"/>
    <col min="10246" max="10246" width="13.375" style="2" customWidth="1"/>
    <col min="10247" max="10247" width="12.125" style="2"/>
    <col min="10248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1" width="12.125" style="2"/>
    <col min="10502" max="10502" width="13.375" style="2" customWidth="1"/>
    <col min="10503" max="10503" width="12.125" style="2"/>
    <col min="10504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7" width="12.125" style="2"/>
    <col min="10758" max="10758" width="13.375" style="2" customWidth="1"/>
    <col min="10759" max="10759" width="12.125" style="2"/>
    <col min="10760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3" width="12.125" style="2"/>
    <col min="11014" max="11014" width="13.375" style="2" customWidth="1"/>
    <col min="11015" max="11015" width="12.125" style="2"/>
    <col min="11016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9" width="12.125" style="2"/>
    <col min="11270" max="11270" width="13.375" style="2" customWidth="1"/>
    <col min="11271" max="11271" width="12.125" style="2"/>
    <col min="11272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5" width="12.125" style="2"/>
    <col min="11526" max="11526" width="13.375" style="2" customWidth="1"/>
    <col min="11527" max="11527" width="12.125" style="2"/>
    <col min="11528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1" width="12.125" style="2"/>
    <col min="11782" max="11782" width="13.375" style="2" customWidth="1"/>
    <col min="11783" max="11783" width="12.125" style="2"/>
    <col min="11784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7" width="12.125" style="2"/>
    <col min="12038" max="12038" width="13.375" style="2" customWidth="1"/>
    <col min="12039" max="12039" width="12.125" style="2"/>
    <col min="12040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3" width="12.125" style="2"/>
    <col min="12294" max="12294" width="13.375" style="2" customWidth="1"/>
    <col min="12295" max="12295" width="12.125" style="2"/>
    <col min="12296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9" width="12.125" style="2"/>
    <col min="12550" max="12550" width="13.375" style="2" customWidth="1"/>
    <col min="12551" max="12551" width="12.125" style="2"/>
    <col min="12552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5" width="12.125" style="2"/>
    <col min="12806" max="12806" width="13.375" style="2" customWidth="1"/>
    <col min="12807" max="12807" width="12.125" style="2"/>
    <col min="12808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1" width="12.125" style="2"/>
    <col min="13062" max="13062" width="13.375" style="2" customWidth="1"/>
    <col min="13063" max="13063" width="12.125" style="2"/>
    <col min="13064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7" width="12.125" style="2"/>
    <col min="13318" max="13318" width="13.375" style="2" customWidth="1"/>
    <col min="13319" max="13319" width="12.125" style="2"/>
    <col min="13320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3" width="12.125" style="2"/>
    <col min="13574" max="13574" width="13.375" style="2" customWidth="1"/>
    <col min="13575" max="13575" width="12.125" style="2"/>
    <col min="13576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9" width="12.125" style="2"/>
    <col min="13830" max="13830" width="13.375" style="2" customWidth="1"/>
    <col min="13831" max="13831" width="12.125" style="2"/>
    <col min="13832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5" width="12.125" style="2"/>
    <col min="14086" max="14086" width="13.375" style="2" customWidth="1"/>
    <col min="14087" max="14087" width="12.125" style="2"/>
    <col min="14088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1" width="12.125" style="2"/>
    <col min="14342" max="14342" width="13.375" style="2" customWidth="1"/>
    <col min="14343" max="14343" width="12.125" style="2"/>
    <col min="14344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7" width="12.125" style="2"/>
    <col min="14598" max="14598" width="13.375" style="2" customWidth="1"/>
    <col min="14599" max="14599" width="12.125" style="2"/>
    <col min="14600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3" width="12.125" style="2"/>
    <col min="14854" max="14854" width="13.375" style="2" customWidth="1"/>
    <col min="14855" max="14855" width="12.125" style="2"/>
    <col min="14856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9" width="12.125" style="2"/>
    <col min="15110" max="15110" width="13.375" style="2" customWidth="1"/>
    <col min="15111" max="15111" width="12.125" style="2"/>
    <col min="15112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5" width="12.125" style="2"/>
    <col min="15366" max="15366" width="13.375" style="2" customWidth="1"/>
    <col min="15367" max="15367" width="12.125" style="2"/>
    <col min="15368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1" width="12.125" style="2"/>
    <col min="15622" max="15622" width="13.375" style="2" customWidth="1"/>
    <col min="15623" max="15623" width="12.125" style="2"/>
    <col min="15624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7" width="12.125" style="2"/>
    <col min="15878" max="15878" width="13.375" style="2" customWidth="1"/>
    <col min="15879" max="15879" width="12.125" style="2"/>
    <col min="15880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3" width="12.125" style="2"/>
    <col min="16134" max="16134" width="13.375" style="2" customWidth="1"/>
    <col min="16135" max="16135" width="12.125" style="2"/>
    <col min="16136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9" x14ac:dyDescent="0.2">
      <c r="A1" s="1"/>
    </row>
    <row r="6" spans="1:19" ht="28.5" x14ac:dyDescent="0.3">
      <c r="E6" s="89" t="s">
        <v>353</v>
      </c>
    </row>
    <row r="7" spans="1:19" x14ac:dyDescent="0.2">
      <c r="E7" s="4" t="s">
        <v>354</v>
      </c>
    </row>
    <row r="8" spans="1:19" x14ac:dyDescent="0.2">
      <c r="C8" s="1" t="s">
        <v>355</v>
      </c>
    </row>
    <row r="9" spans="1:19" x14ac:dyDescent="0.2">
      <c r="C9" s="1" t="s">
        <v>356</v>
      </c>
    </row>
    <row r="10" spans="1:19" ht="18" thickBot="1" x14ac:dyDescent="0.25">
      <c r="B10" s="5"/>
      <c r="C10" s="6" t="s">
        <v>357</v>
      </c>
      <c r="D10" s="5"/>
      <c r="E10" s="5"/>
      <c r="F10" s="5"/>
      <c r="G10" s="5"/>
      <c r="H10" s="5"/>
      <c r="I10" s="5"/>
      <c r="J10" s="6" t="s">
        <v>358</v>
      </c>
      <c r="K10" s="5"/>
      <c r="L10" s="24"/>
      <c r="M10" s="24"/>
      <c r="N10" s="24"/>
      <c r="O10" s="24"/>
      <c r="P10" s="24"/>
      <c r="Q10" s="24"/>
      <c r="R10" s="24"/>
    </row>
    <row r="11" spans="1:19" x14ac:dyDescent="0.2">
      <c r="C11" s="8" t="s">
        <v>359</v>
      </c>
      <c r="D11" s="10"/>
      <c r="E11" s="10"/>
      <c r="F11" s="10"/>
      <c r="G11" s="7"/>
      <c r="H11" s="8" t="s">
        <v>360</v>
      </c>
      <c r="I11" s="10"/>
      <c r="J11" s="10"/>
      <c r="K11" s="10"/>
      <c r="S11" s="24"/>
    </row>
    <row r="12" spans="1:19" x14ac:dyDescent="0.2">
      <c r="B12" s="10"/>
      <c r="C12" s="12" t="s">
        <v>361</v>
      </c>
      <c r="D12" s="12" t="s">
        <v>362</v>
      </c>
      <c r="E12" s="12" t="s">
        <v>363</v>
      </c>
      <c r="F12" s="12" t="s">
        <v>364</v>
      </c>
      <c r="G12" s="12" t="s">
        <v>4</v>
      </c>
      <c r="H12" s="12" t="s">
        <v>361</v>
      </c>
      <c r="I12" s="12" t="s">
        <v>365</v>
      </c>
      <c r="J12" s="12" t="s">
        <v>366</v>
      </c>
      <c r="K12" s="12" t="s">
        <v>115</v>
      </c>
      <c r="S12" s="24"/>
    </row>
    <row r="13" spans="1:19" x14ac:dyDescent="0.2">
      <c r="C13" s="7"/>
      <c r="G13" s="7"/>
    </row>
    <row r="14" spans="1:19" x14ac:dyDescent="0.2">
      <c r="B14" s="1" t="s">
        <v>367</v>
      </c>
      <c r="C14" s="38">
        <v>3190</v>
      </c>
      <c r="D14" s="3">
        <v>2314</v>
      </c>
      <c r="E14" s="3">
        <v>852</v>
      </c>
      <c r="F14" s="3">
        <v>24</v>
      </c>
      <c r="G14" s="16">
        <v>12</v>
      </c>
      <c r="H14" s="80">
        <v>3299.8</v>
      </c>
      <c r="I14" s="3">
        <v>1182.4000000000001</v>
      </c>
      <c r="J14" s="3">
        <v>1631</v>
      </c>
      <c r="K14" s="3">
        <v>486.4</v>
      </c>
    </row>
    <row r="15" spans="1:19" x14ac:dyDescent="0.2">
      <c r="B15" s="1" t="s">
        <v>368</v>
      </c>
      <c r="C15" s="38">
        <v>2497</v>
      </c>
      <c r="D15" s="3">
        <v>1718</v>
      </c>
      <c r="E15" s="3">
        <v>727</v>
      </c>
      <c r="F15" s="3">
        <v>52</v>
      </c>
      <c r="G15" s="16">
        <v>13</v>
      </c>
      <c r="H15" s="80">
        <v>2664.8</v>
      </c>
      <c r="I15" s="3">
        <v>937</v>
      </c>
      <c r="J15" s="3">
        <v>1441</v>
      </c>
      <c r="K15" s="3">
        <v>286.8</v>
      </c>
    </row>
    <row r="16" spans="1:19" x14ac:dyDescent="0.2">
      <c r="B16" s="1" t="s">
        <v>369</v>
      </c>
      <c r="C16" s="38">
        <v>5029</v>
      </c>
      <c r="D16" s="3">
        <v>3351</v>
      </c>
      <c r="E16" s="3">
        <v>1562.5</v>
      </c>
      <c r="F16" s="3">
        <v>115.5</v>
      </c>
      <c r="G16" s="16">
        <v>10</v>
      </c>
      <c r="H16" s="80">
        <v>5018</v>
      </c>
      <c r="I16" s="3">
        <v>1569</v>
      </c>
      <c r="J16" s="3">
        <v>2454</v>
      </c>
      <c r="K16" s="3">
        <v>995</v>
      </c>
    </row>
    <row r="17" spans="2:11" x14ac:dyDescent="0.2">
      <c r="B17" s="1" t="s">
        <v>370</v>
      </c>
      <c r="C17" s="38">
        <v>5502</v>
      </c>
      <c r="D17" s="3">
        <v>3733</v>
      </c>
      <c r="E17" s="3">
        <v>1697</v>
      </c>
      <c r="F17" s="3">
        <v>72</v>
      </c>
      <c r="G17" s="16">
        <v>11</v>
      </c>
      <c r="H17" s="80">
        <v>5483.8</v>
      </c>
      <c r="I17" s="3">
        <v>1855.4</v>
      </c>
      <c r="J17" s="3">
        <v>2461.4</v>
      </c>
      <c r="K17" s="3">
        <v>1167</v>
      </c>
    </row>
    <row r="18" spans="2:11" x14ac:dyDescent="0.2">
      <c r="C18" s="7"/>
      <c r="G18" s="7"/>
    </row>
    <row r="19" spans="2:11" ht="18" customHeight="1" x14ac:dyDescent="0.2">
      <c r="B19" s="1" t="s">
        <v>371</v>
      </c>
      <c r="C19" s="38">
        <v>4360</v>
      </c>
      <c r="D19" s="3">
        <v>2931</v>
      </c>
      <c r="E19" s="3">
        <v>1353</v>
      </c>
      <c r="F19" s="3">
        <v>78</v>
      </c>
      <c r="G19" s="16">
        <v>8</v>
      </c>
      <c r="H19" s="80">
        <v>4360</v>
      </c>
      <c r="I19" s="3">
        <v>1299</v>
      </c>
      <c r="J19" s="3">
        <v>2034</v>
      </c>
      <c r="K19" s="3">
        <v>1026</v>
      </c>
    </row>
    <row r="20" spans="2:11" x14ac:dyDescent="0.2">
      <c r="B20" s="1" t="s">
        <v>372</v>
      </c>
      <c r="C20" s="38">
        <v>3944</v>
      </c>
      <c r="D20" s="3">
        <v>2753</v>
      </c>
      <c r="E20" s="3">
        <v>1116</v>
      </c>
      <c r="F20" s="3">
        <v>77</v>
      </c>
      <c r="G20" s="16">
        <v>8</v>
      </c>
      <c r="H20" s="80">
        <v>3944</v>
      </c>
      <c r="I20" s="3">
        <v>1214</v>
      </c>
      <c r="J20" s="3">
        <v>1993</v>
      </c>
      <c r="K20" s="3">
        <v>739</v>
      </c>
    </row>
    <row r="21" spans="2:11" x14ac:dyDescent="0.2">
      <c r="B21" s="1" t="s">
        <v>373</v>
      </c>
      <c r="C21" s="38">
        <v>3467</v>
      </c>
      <c r="D21" s="80">
        <v>2320</v>
      </c>
      <c r="E21" s="80">
        <v>1086</v>
      </c>
      <c r="F21" s="80">
        <v>60</v>
      </c>
      <c r="G21" s="16">
        <v>8</v>
      </c>
      <c r="H21" s="80">
        <v>3467</v>
      </c>
      <c r="I21" s="80">
        <v>1130</v>
      </c>
      <c r="J21" s="80">
        <v>1881</v>
      </c>
      <c r="K21" s="80">
        <v>456</v>
      </c>
    </row>
    <row r="22" spans="2:11" x14ac:dyDescent="0.2">
      <c r="B22" s="4" t="s">
        <v>374</v>
      </c>
      <c r="C22" s="14">
        <v>2979</v>
      </c>
      <c r="D22" s="15">
        <v>1999</v>
      </c>
      <c r="E22" s="15">
        <v>925</v>
      </c>
      <c r="F22" s="15">
        <v>55</v>
      </c>
      <c r="G22" s="88">
        <v>8</v>
      </c>
      <c r="H22" s="15">
        <v>2979</v>
      </c>
      <c r="I22" s="15">
        <v>991</v>
      </c>
      <c r="J22" s="15">
        <v>1584</v>
      </c>
      <c r="K22" s="15">
        <v>403</v>
      </c>
    </row>
    <row r="23" spans="2:11" x14ac:dyDescent="0.2">
      <c r="C23" s="7"/>
      <c r="G23" s="16"/>
      <c r="I23" s="3"/>
      <c r="J23" s="3"/>
    </row>
    <row r="24" spans="2:11" x14ac:dyDescent="0.2">
      <c r="B24" s="1" t="s">
        <v>375</v>
      </c>
      <c r="C24" s="38">
        <v>244</v>
      </c>
      <c r="D24" s="3">
        <v>171</v>
      </c>
      <c r="E24" s="3">
        <v>69</v>
      </c>
      <c r="F24" s="3">
        <v>4</v>
      </c>
      <c r="G24" s="90" t="s">
        <v>376</v>
      </c>
      <c r="H24" s="80">
        <v>244</v>
      </c>
      <c r="I24" s="3">
        <v>82</v>
      </c>
      <c r="J24" s="3">
        <v>133</v>
      </c>
      <c r="K24" s="3">
        <v>30</v>
      </c>
    </row>
    <row r="25" spans="2:11" x14ac:dyDescent="0.2">
      <c r="B25" s="1" t="s">
        <v>377</v>
      </c>
      <c r="C25" s="38">
        <v>325</v>
      </c>
      <c r="D25" s="3">
        <v>217</v>
      </c>
      <c r="E25" s="3">
        <v>102</v>
      </c>
      <c r="F25" s="3">
        <v>6</v>
      </c>
      <c r="G25" s="90" t="s">
        <v>378</v>
      </c>
      <c r="H25" s="80">
        <v>325</v>
      </c>
      <c r="I25" s="3">
        <v>112</v>
      </c>
      <c r="J25" s="3">
        <v>171</v>
      </c>
      <c r="K25" s="3">
        <v>42</v>
      </c>
    </row>
    <row r="26" spans="2:11" x14ac:dyDescent="0.2">
      <c r="B26" s="1" t="s">
        <v>379</v>
      </c>
      <c r="C26" s="38">
        <v>373</v>
      </c>
      <c r="D26" s="3">
        <v>262</v>
      </c>
      <c r="E26" s="3">
        <v>101</v>
      </c>
      <c r="F26" s="3">
        <v>10</v>
      </c>
      <c r="G26" s="90" t="s">
        <v>380</v>
      </c>
      <c r="H26" s="80">
        <v>373</v>
      </c>
      <c r="I26" s="3">
        <v>150</v>
      </c>
      <c r="J26" s="3">
        <v>175</v>
      </c>
      <c r="K26" s="3">
        <v>47</v>
      </c>
    </row>
    <row r="27" spans="2:11" x14ac:dyDescent="0.2">
      <c r="B27" s="1" t="s">
        <v>381</v>
      </c>
      <c r="C27" s="38">
        <v>269</v>
      </c>
      <c r="D27" s="3">
        <v>172</v>
      </c>
      <c r="E27" s="3">
        <v>92</v>
      </c>
      <c r="F27" s="3">
        <v>5</v>
      </c>
      <c r="G27" s="90" t="s">
        <v>376</v>
      </c>
      <c r="H27" s="80">
        <v>269</v>
      </c>
      <c r="I27" s="3">
        <v>92</v>
      </c>
      <c r="J27" s="3">
        <v>140</v>
      </c>
      <c r="K27" s="3">
        <v>37</v>
      </c>
    </row>
    <row r="28" spans="2:11" x14ac:dyDescent="0.2">
      <c r="B28" s="1" t="s">
        <v>382</v>
      </c>
      <c r="C28" s="38">
        <v>227</v>
      </c>
      <c r="D28" s="3">
        <v>152</v>
      </c>
      <c r="E28" s="3">
        <v>71</v>
      </c>
      <c r="F28" s="3">
        <v>4</v>
      </c>
      <c r="G28" s="90" t="s">
        <v>383</v>
      </c>
      <c r="H28" s="80">
        <v>227</v>
      </c>
      <c r="I28" s="3">
        <v>75</v>
      </c>
      <c r="J28" s="3">
        <v>118</v>
      </c>
      <c r="K28" s="3">
        <v>34</v>
      </c>
    </row>
    <row r="29" spans="2:11" x14ac:dyDescent="0.2">
      <c r="B29" s="1" t="s">
        <v>384</v>
      </c>
      <c r="C29" s="38">
        <v>225</v>
      </c>
      <c r="D29" s="3">
        <v>138</v>
      </c>
      <c r="E29" s="3">
        <v>84</v>
      </c>
      <c r="F29" s="3">
        <v>3</v>
      </c>
      <c r="G29" s="90" t="s">
        <v>380</v>
      </c>
      <c r="H29" s="80">
        <v>225</v>
      </c>
      <c r="I29" s="3">
        <v>60</v>
      </c>
      <c r="J29" s="3">
        <v>128</v>
      </c>
      <c r="K29" s="3">
        <v>37</v>
      </c>
    </row>
    <row r="30" spans="2:11" x14ac:dyDescent="0.2">
      <c r="C30" s="7"/>
      <c r="G30" s="16"/>
    </row>
    <row r="31" spans="2:11" x14ac:dyDescent="0.2">
      <c r="B31" s="1" t="s">
        <v>385</v>
      </c>
      <c r="C31" s="38">
        <v>206</v>
      </c>
      <c r="D31" s="3">
        <v>132</v>
      </c>
      <c r="E31" s="3">
        <v>71</v>
      </c>
      <c r="F31" s="3">
        <v>3</v>
      </c>
      <c r="G31" s="90" t="s">
        <v>376</v>
      </c>
      <c r="H31" s="80">
        <v>206</v>
      </c>
      <c r="I31" s="3">
        <v>61</v>
      </c>
      <c r="J31" s="3">
        <v>115</v>
      </c>
      <c r="K31" s="3">
        <v>30</v>
      </c>
    </row>
    <row r="32" spans="2:11" x14ac:dyDescent="0.2">
      <c r="B32" s="1" t="s">
        <v>386</v>
      </c>
      <c r="C32" s="38">
        <v>187</v>
      </c>
      <c r="D32" s="3">
        <v>126</v>
      </c>
      <c r="E32" s="3">
        <v>58</v>
      </c>
      <c r="F32" s="3">
        <v>3</v>
      </c>
      <c r="G32" s="90" t="s">
        <v>383</v>
      </c>
      <c r="H32" s="80">
        <v>187</v>
      </c>
      <c r="I32" s="3">
        <v>54</v>
      </c>
      <c r="J32" s="3">
        <v>107</v>
      </c>
      <c r="K32" s="3">
        <v>26</v>
      </c>
    </row>
    <row r="33" spans="2:11" x14ac:dyDescent="0.2">
      <c r="B33" s="1" t="s">
        <v>387</v>
      </c>
      <c r="C33" s="38">
        <v>209</v>
      </c>
      <c r="D33" s="3">
        <v>137</v>
      </c>
      <c r="E33" s="3">
        <v>68</v>
      </c>
      <c r="F33" s="3">
        <v>4</v>
      </c>
      <c r="G33" s="90" t="s">
        <v>380</v>
      </c>
      <c r="H33" s="80">
        <v>209</v>
      </c>
      <c r="I33" s="3">
        <v>63</v>
      </c>
      <c r="J33" s="3">
        <v>117</v>
      </c>
      <c r="K33" s="3">
        <v>29</v>
      </c>
    </row>
    <row r="34" spans="2:11" x14ac:dyDescent="0.2">
      <c r="B34" s="1" t="s">
        <v>388</v>
      </c>
      <c r="C34" s="38">
        <v>226</v>
      </c>
      <c r="D34" s="3">
        <v>156</v>
      </c>
      <c r="E34" s="3">
        <v>66</v>
      </c>
      <c r="F34" s="3">
        <v>4</v>
      </c>
      <c r="G34" s="90" t="s">
        <v>376</v>
      </c>
      <c r="H34" s="80">
        <v>226</v>
      </c>
      <c r="I34" s="3">
        <v>79</v>
      </c>
      <c r="J34" s="3">
        <v>120</v>
      </c>
      <c r="K34" s="3">
        <v>26</v>
      </c>
    </row>
    <row r="35" spans="2:11" x14ac:dyDescent="0.2">
      <c r="B35" s="1" t="s">
        <v>389</v>
      </c>
      <c r="C35" s="38">
        <v>235</v>
      </c>
      <c r="D35" s="3">
        <v>162</v>
      </c>
      <c r="E35" s="3">
        <v>68</v>
      </c>
      <c r="F35" s="3">
        <v>5</v>
      </c>
      <c r="G35" s="90" t="s">
        <v>383</v>
      </c>
      <c r="H35" s="80">
        <v>235</v>
      </c>
      <c r="I35" s="3">
        <v>82</v>
      </c>
      <c r="J35" s="3">
        <v>123</v>
      </c>
      <c r="K35" s="3">
        <v>29</v>
      </c>
    </row>
    <row r="36" spans="2:11" x14ac:dyDescent="0.2">
      <c r="B36" s="1" t="s">
        <v>390</v>
      </c>
      <c r="C36" s="38">
        <v>253</v>
      </c>
      <c r="D36" s="3">
        <v>174</v>
      </c>
      <c r="E36" s="3">
        <v>75</v>
      </c>
      <c r="F36" s="3">
        <v>4</v>
      </c>
      <c r="G36" s="90" t="s">
        <v>380</v>
      </c>
      <c r="H36" s="80">
        <v>253</v>
      </c>
      <c r="I36" s="3">
        <v>81</v>
      </c>
      <c r="J36" s="3">
        <v>136</v>
      </c>
      <c r="K36" s="3">
        <v>35</v>
      </c>
    </row>
    <row r="37" spans="2:11" ht="18" thickBot="1" x14ac:dyDescent="0.25">
      <c r="B37" s="5"/>
      <c r="C37" s="41"/>
      <c r="D37" s="5"/>
      <c r="E37" s="5"/>
      <c r="F37" s="5"/>
      <c r="G37" s="41"/>
      <c r="H37" s="5"/>
      <c r="I37" s="5"/>
      <c r="J37" s="5"/>
      <c r="K37" s="5"/>
    </row>
    <row r="38" spans="2:11" x14ac:dyDescent="0.2">
      <c r="C38" s="1" t="s">
        <v>391</v>
      </c>
    </row>
  </sheetData>
  <phoneticPr fontId="2"/>
  <pageMargins left="0.34" right="0.4" top="0.55000000000000004" bottom="0.59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zoomScale="75" workbookViewId="0">
      <selection activeCell="A2" sqref="A2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5" width="12.125" style="2"/>
    <col min="6" max="6" width="13.375" style="2" customWidth="1"/>
    <col min="7" max="7" width="12.125" style="2"/>
    <col min="8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1" width="12.125" style="2"/>
    <col min="262" max="262" width="13.375" style="2" customWidth="1"/>
    <col min="263" max="263" width="12.125" style="2"/>
    <col min="264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7" width="12.125" style="2"/>
    <col min="518" max="518" width="13.375" style="2" customWidth="1"/>
    <col min="519" max="519" width="12.125" style="2"/>
    <col min="520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3" width="12.125" style="2"/>
    <col min="774" max="774" width="13.375" style="2" customWidth="1"/>
    <col min="775" max="775" width="12.125" style="2"/>
    <col min="776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9" width="12.125" style="2"/>
    <col min="1030" max="1030" width="13.375" style="2" customWidth="1"/>
    <col min="1031" max="1031" width="12.125" style="2"/>
    <col min="1032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5" width="12.125" style="2"/>
    <col min="1286" max="1286" width="13.375" style="2" customWidth="1"/>
    <col min="1287" max="1287" width="12.125" style="2"/>
    <col min="1288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1" width="12.125" style="2"/>
    <col min="1542" max="1542" width="13.375" style="2" customWidth="1"/>
    <col min="1543" max="1543" width="12.125" style="2"/>
    <col min="1544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7" width="12.125" style="2"/>
    <col min="1798" max="1798" width="13.375" style="2" customWidth="1"/>
    <col min="1799" max="1799" width="12.125" style="2"/>
    <col min="1800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3" width="12.125" style="2"/>
    <col min="2054" max="2054" width="13.375" style="2" customWidth="1"/>
    <col min="2055" max="2055" width="12.125" style="2"/>
    <col min="2056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9" width="12.125" style="2"/>
    <col min="2310" max="2310" width="13.375" style="2" customWidth="1"/>
    <col min="2311" max="2311" width="12.125" style="2"/>
    <col min="2312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5" width="12.125" style="2"/>
    <col min="2566" max="2566" width="13.375" style="2" customWidth="1"/>
    <col min="2567" max="2567" width="12.125" style="2"/>
    <col min="2568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1" width="12.125" style="2"/>
    <col min="2822" max="2822" width="13.375" style="2" customWidth="1"/>
    <col min="2823" max="2823" width="12.125" style="2"/>
    <col min="2824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7" width="12.125" style="2"/>
    <col min="3078" max="3078" width="13.375" style="2" customWidth="1"/>
    <col min="3079" max="3079" width="12.125" style="2"/>
    <col min="3080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3" width="12.125" style="2"/>
    <col min="3334" max="3334" width="13.375" style="2" customWidth="1"/>
    <col min="3335" max="3335" width="12.125" style="2"/>
    <col min="3336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9" width="12.125" style="2"/>
    <col min="3590" max="3590" width="13.375" style="2" customWidth="1"/>
    <col min="3591" max="3591" width="12.125" style="2"/>
    <col min="3592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5" width="12.125" style="2"/>
    <col min="3846" max="3846" width="13.375" style="2" customWidth="1"/>
    <col min="3847" max="3847" width="12.125" style="2"/>
    <col min="3848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1" width="12.125" style="2"/>
    <col min="4102" max="4102" width="13.375" style="2" customWidth="1"/>
    <col min="4103" max="4103" width="12.125" style="2"/>
    <col min="4104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7" width="12.125" style="2"/>
    <col min="4358" max="4358" width="13.375" style="2" customWidth="1"/>
    <col min="4359" max="4359" width="12.125" style="2"/>
    <col min="4360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3" width="12.125" style="2"/>
    <col min="4614" max="4614" width="13.375" style="2" customWidth="1"/>
    <col min="4615" max="4615" width="12.125" style="2"/>
    <col min="4616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9" width="12.125" style="2"/>
    <col min="4870" max="4870" width="13.375" style="2" customWidth="1"/>
    <col min="4871" max="4871" width="12.125" style="2"/>
    <col min="4872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5" width="12.125" style="2"/>
    <col min="5126" max="5126" width="13.375" style="2" customWidth="1"/>
    <col min="5127" max="5127" width="12.125" style="2"/>
    <col min="5128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1" width="12.125" style="2"/>
    <col min="5382" max="5382" width="13.375" style="2" customWidth="1"/>
    <col min="5383" max="5383" width="12.125" style="2"/>
    <col min="5384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7" width="12.125" style="2"/>
    <col min="5638" max="5638" width="13.375" style="2" customWidth="1"/>
    <col min="5639" max="5639" width="12.125" style="2"/>
    <col min="5640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3" width="12.125" style="2"/>
    <col min="5894" max="5894" width="13.375" style="2" customWidth="1"/>
    <col min="5895" max="5895" width="12.125" style="2"/>
    <col min="5896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9" width="12.125" style="2"/>
    <col min="6150" max="6150" width="13.375" style="2" customWidth="1"/>
    <col min="6151" max="6151" width="12.125" style="2"/>
    <col min="6152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5" width="12.125" style="2"/>
    <col min="6406" max="6406" width="13.375" style="2" customWidth="1"/>
    <col min="6407" max="6407" width="12.125" style="2"/>
    <col min="6408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1" width="12.125" style="2"/>
    <col min="6662" max="6662" width="13.375" style="2" customWidth="1"/>
    <col min="6663" max="6663" width="12.125" style="2"/>
    <col min="6664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7" width="12.125" style="2"/>
    <col min="6918" max="6918" width="13.375" style="2" customWidth="1"/>
    <col min="6919" max="6919" width="12.125" style="2"/>
    <col min="6920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3" width="12.125" style="2"/>
    <col min="7174" max="7174" width="13.375" style="2" customWidth="1"/>
    <col min="7175" max="7175" width="12.125" style="2"/>
    <col min="7176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9" width="12.125" style="2"/>
    <col min="7430" max="7430" width="13.375" style="2" customWidth="1"/>
    <col min="7431" max="7431" width="12.125" style="2"/>
    <col min="7432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5" width="12.125" style="2"/>
    <col min="7686" max="7686" width="13.375" style="2" customWidth="1"/>
    <col min="7687" max="7687" width="12.125" style="2"/>
    <col min="7688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1" width="12.125" style="2"/>
    <col min="7942" max="7942" width="13.375" style="2" customWidth="1"/>
    <col min="7943" max="7943" width="12.125" style="2"/>
    <col min="7944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7" width="12.125" style="2"/>
    <col min="8198" max="8198" width="13.375" style="2" customWidth="1"/>
    <col min="8199" max="8199" width="12.125" style="2"/>
    <col min="8200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3" width="12.125" style="2"/>
    <col min="8454" max="8454" width="13.375" style="2" customWidth="1"/>
    <col min="8455" max="8455" width="12.125" style="2"/>
    <col min="8456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9" width="12.125" style="2"/>
    <col min="8710" max="8710" width="13.375" style="2" customWidth="1"/>
    <col min="8711" max="8711" width="12.125" style="2"/>
    <col min="8712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5" width="12.125" style="2"/>
    <col min="8966" max="8966" width="13.375" style="2" customWidth="1"/>
    <col min="8967" max="8967" width="12.125" style="2"/>
    <col min="8968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1" width="12.125" style="2"/>
    <col min="9222" max="9222" width="13.375" style="2" customWidth="1"/>
    <col min="9223" max="9223" width="12.125" style="2"/>
    <col min="9224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7" width="12.125" style="2"/>
    <col min="9478" max="9478" width="13.375" style="2" customWidth="1"/>
    <col min="9479" max="9479" width="12.125" style="2"/>
    <col min="9480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3" width="12.125" style="2"/>
    <col min="9734" max="9734" width="13.375" style="2" customWidth="1"/>
    <col min="9735" max="9735" width="12.125" style="2"/>
    <col min="9736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9" width="12.125" style="2"/>
    <col min="9990" max="9990" width="13.375" style="2" customWidth="1"/>
    <col min="9991" max="9991" width="12.125" style="2"/>
    <col min="9992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5" width="12.125" style="2"/>
    <col min="10246" max="10246" width="13.375" style="2" customWidth="1"/>
    <col min="10247" max="10247" width="12.125" style="2"/>
    <col min="10248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1" width="12.125" style="2"/>
    <col min="10502" max="10502" width="13.375" style="2" customWidth="1"/>
    <col min="10503" max="10503" width="12.125" style="2"/>
    <col min="10504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7" width="12.125" style="2"/>
    <col min="10758" max="10758" width="13.375" style="2" customWidth="1"/>
    <col min="10759" max="10759" width="12.125" style="2"/>
    <col min="10760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3" width="12.125" style="2"/>
    <col min="11014" max="11014" width="13.375" style="2" customWidth="1"/>
    <col min="11015" max="11015" width="12.125" style="2"/>
    <col min="11016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9" width="12.125" style="2"/>
    <col min="11270" max="11270" width="13.375" style="2" customWidth="1"/>
    <col min="11271" max="11271" width="12.125" style="2"/>
    <col min="11272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5" width="12.125" style="2"/>
    <col min="11526" max="11526" width="13.375" style="2" customWidth="1"/>
    <col min="11527" max="11527" width="12.125" style="2"/>
    <col min="11528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1" width="12.125" style="2"/>
    <col min="11782" max="11782" width="13.375" style="2" customWidth="1"/>
    <col min="11783" max="11783" width="12.125" style="2"/>
    <col min="11784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7" width="12.125" style="2"/>
    <col min="12038" max="12038" width="13.375" style="2" customWidth="1"/>
    <col min="12039" max="12039" width="12.125" style="2"/>
    <col min="12040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3" width="12.125" style="2"/>
    <col min="12294" max="12294" width="13.375" style="2" customWidth="1"/>
    <col min="12295" max="12295" width="12.125" style="2"/>
    <col min="12296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9" width="12.125" style="2"/>
    <col min="12550" max="12550" width="13.375" style="2" customWidth="1"/>
    <col min="12551" max="12551" width="12.125" style="2"/>
    <col min="12552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5" width="12.125" style="2"/>
    <col min="12806" max="12806" width="13.375" style="2" customWidth="1"/>
    <col min="12807" max="12807" width="12.125" style="2"/>
    <col min="12808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1" width="12.125" style="2"/>
    <col min="13062" max="13062" width="13.375" style="2" customWidth="1"/>
    <col min="13063" max="13063" width="12.125" style="2"/>
    <col min="13064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7" width="12.125" style="2"/>
    <col min="13318" max="13318" width="13.375" style="2" customWidth="1"/>
    <col min="13319" max="13319" width="12.125" style="2"/>
    <col min="13320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3" width="12.125" style="2"/>
    <col min="13574" max="13574" width="13.375" style="2" customWidth="1"/>
    <col min="13575" max="13575" width="12.125" style="2"/>
    <col min="13576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9" width="12.125" style="2"/>
    <col min="13830" max="13830" width="13.375" style="2" customWidth="1"/>
    <col min="13831" max="13831" width="12.125" style="2"/>
    <col min="13832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5" width="12.125" style="2"/>
    <col min="14086" max="14086" width="13.375" style="2" customWidth="1"/>
    <col min="14087" max="14087" width="12.125" style="2"/>
    <col min="14088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1" width="12.125" style="2"/>
    <col min="14342" max="14342" width="13.375" style="2" customWidth="1"/>
    <col min="14343" max="14343" width="12.125" style="2"/>
    <col min="14344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7" width="12.125" style="2"/>
    <col min="14598" max="14598" width="13.375" style="2" customWidth="1"/>
    <col min="14599" max="14599" width="12.125" style="2"/>
    <col min="14600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3" width="12.125" style="2"/>
    <col min="14854" max="14854" width="13.375" style="2" customWidth="1"/>
    <col min="14855" max="14855" width="12.125" style="2"/>
    <col min="14856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9" width="12.125" style="2"/>
    <col min="15110" max="15110" width="13.375" style="2" customWidth="1"/>
    <col min="15111" max="15111" width="12.125" style="2"/>
    <col min="15112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5" width="12.125" style="2"/>
    <col min="15366" max="15366" width="13.375" style="2" customWidth="1"/>
    <col min="15367" max="15367" width="12.125" style="2"/>
    <col min="15368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1" width="12.125" style="2"/>
    <col min="15622" max="15622" width="13.375" style="2" customWidth="1"/>
    <col min="15623" max="15623" width="12.125" style="2"/>
    <col min="15624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7" width="12.125" style="2"/>
    <col min="15878" max="15878" width="13.375" style="2" customWidth="1"/>
    <col min="15879" max="15879" width="12.125" style="2"/>
    <col min="15880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3" width="12.125" style="2"/>
    <col min="16134" max="16134" width="13.375" style="2" customWidth="1"/>
    <col min="16135" max="16135" width="12.125" style="2"/>
    <col min="16136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C6" s="24"/>
      <c r="E6" s="4" t="s">
        <v>392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">
      <c r="C8" s="11"/>
      <c r="D8" s="10"/>
      <c r="E8" s="10"/>
      <c r="F8" s="26" t="s">
        <v>393</v>
      </c>
      <c r="G8" s="10"/>
      <c r="H8" s="10"/>
      <c r="I8" s="10"/>
      <c r="J8" s="10"/>
      <c r="K8" s="7"/>
    </row>
    <row r="9" spans="1:11" x14ac:dyDescent="0.2">
      <c r="C9" s="7"/>
      <c r="D9" s="10"/>
      <c r="E9" s="26" t="s">
        <v>394</v>
      </c>
      <c r="F9" s="10"/>
      <c r="G9" s="10"/>
      <c r="H9" s="10"/>
      <c r="I9" s="10"/>
      <c r="J9" s="7"/>
      <c r="K9" s="8" t="s">
        <v>395</v>
      </c>
    </row>
    <row r="10" spans="1:11" x14ac:dyDescent="0.2">
      <c r="C10" s="9" t="s">
        <v>396</v>
      </c>
      <c r="D10" s="7"/>
      <c r="E10" s="10"/>
      <c r="F10" s="10"/>
      <c r="G10" s="7"/>
      <c r="H10" s="10"/>
      <c r="I10" s="10"/>
      <c r="J10" s="8" t="s">
        <v>397</v>
      </c>
      <c r="K10" s="8" t="s">
        <v>398</v>
      </c>
    </row>
    <row r="11" spans="1:11" x14ac:dyDescent="0.2">
      <c r="B11" s="10"/>
      <c r="C11" s="12" t="s">
        <v>399</v>
      </c>
      <c r="D11" s="12" t="s">
        <v>400</v>
      </c>
      <c r="E11" s="12" t="s">
        <v>401</v>
      </c>
      <c r="F11" s="12" t="s">
        <v>220</v>
      </c>
      <c r="G11" s="12" t="s">
        <v>402</v>
      </c>
      <c r="H11" s="12" t="s">
        <v>403</v>
      </c>
      <c r="I11" s="12" t="s">
        <v>404</v>
      </c>
      <c r="J11" s="11"/>
      <c r="K11" s="35" t="s">
        <v>405</v>
      </c>
    </row>
    <row r="12" spans="1:11" x14ac:dyDescent="0.2">
      <c r="C12" s="91" t="s">
        <v>406</v>
      </c>
      <c r="D12" s="13" t="s">
        <v>406</v>
      </c>
      <c r="E12" s="13" t="s">
        <v>406</v>
      </c>
      <c r="F12" s="13" t="s">
        <v>406</v>
      </c>
      <c r="G12" s="13" t="s">
        <v>406</v>
      </c>
      <c r="H12" s="13" t="s">
        <v>406</v>
      </c>
      <c r="I12" s="13" t="s">
        <v>406</v>
      </c>
      <c r="J12" s="13" t="s">
        <v>15</v>
      </c>
      <c r="K12" s="13" t="s">
        <v>14</v>
      </c>
    </row>
    <row r="13" spans="1:11" x14ac:dyDescent="0.2">
      <c r="B13" s="1" t="s">
        <v>367</v>
      </c>
      <c r="C13" s="92">
        <v>2050.9639999999999</v>
      </c>
      <c r="D13" s="93">
        <v>1407.2529999999999</v>
      </c>
      <c r="E13" s="93">
        <v>376.488</v>
      </c>
      <c r="F13" s="94">
        <v>1030.7650000000001</v>
      </c>
      <c r="G13" s="93">
        <v>643.71100000000001</v>
      </c>
      <c r="H13" s="93">
        <v>230.131</v>
      </c>
      <c r="I13" s="94">
        <v>413.58</v>
      </c>
      <c r="J13" s="3">
        <v>24615.47</v>
      </c>
      <c r="K13" s="3">
        <v>1036</v>
      </c>
    </row>
    <row r="14" spans="1:11" x14ac:dyDescent="0.2">
      <c r="B14" s="34" t="s">
        <v>368</v>
      </c>
      <c r="C14" s="92">
        <v>1458.9</v>
      </c>
      <c r="D14" s="95">
        <v>965.3</v>
      </c>
      <c r="E14" s="95">
        <v>204.3</v>
      </c>
      <c r="F14" s="96">
        <v>761</v>
      </c>
      <c r="G14" s="95">
        <v>493.6</v>
      </c>
      <c r="H14" s="95">
        <v>152.80000000000001</v>
      </c>
      <c r="I14" s="96">
        <v>340.7</v>
      </c>
      <c r="J14" s="97">
        <v>18894.7</v>
      </c>
      <c r="K14" s="97">
        <v>1002</v>
      </c>
    </row>
    <row r="15" spans="1:11" x14ac:dyDescent="0.2">
      <c r="B15" s="34" t="s">
        <v>369</v>
      </c>
      <c r="C15" s="92">
        <v>1789</v>
      </c>
      <c r="D15" s="95">
        <v>1174.0999999999999</v>
      </c>
      <c r="E15" s="95">
        <v>209.2</v>
      </c>
      <c r="F15" s="96">
        <v>964.9</v>
      </c>
      <c r="G15" s="95">
        <v>614.9</v>
      </c>
      <c r="H15" s="95">
        <v>113.6</v>
      </c>
      <c r="I15" s="96">
        <v>501.3</v>
      </c>
      <c r="J15" s="97">
        <v>20412.3</v>
      </c>
      <c r="K15" s="97">
        <v>962</v>
      </c>
    </row>
    <row r="16" spans="1:11" x14ac:dyDescent="0.2">
      <c r="B16" s="34" t="s">
        <v>370</v>
      </c>
      <c r="C16" s="92">
        <v>1184.0999999999999</v>
      </c>
      <c r="D16" s="95">
        <v>787.55</v>
      </c>
      <c r="E16" s="95">
        <v>238.86</v>
      </c>
      <c r="F16" s="96">
        <v>548.69000000000005</v>
      </c>
      <c r="G16" s="95">
        <v>396.55</v>
      </c>
      <c r="H16" s="95">
        <v>115.94</v>
      </c>
      <c r="I16" s="96">
        <v>280.61</v>
      </c>
      <c r="J16" s="98">
        <v>14952.1</v>
      </c>
      <c r="K16" s="98">
        <v>642</v>
      </c>
    </row>
    <row r="17" spans="2:11" x14ac:dyDescent="0.2">
      <c r="B17" s="24"/>
      <c r="C17" s="7"/>
      <c r="D17" s="24"/>
      <c r="E17" s="24"/>
      <c r="F17" s="24"/>
      <c r="G17" s="24"/>
      <c r="H17" s="24"/>
      <c r="I17" s="24"/>
      <c r="J17" s="24"/>
      <c r="K17" s="24"/>
    </row>
    <row r="18" spans="2:11" x14ac:dyDescent="0.2">
      <c r="B18" s="34" t="s">
        <v>371</v>
      </c>
      <c r="C18" s="92">
        <v>988.3</v>
      </c>
      <c r="D18" s="95">
        <v>696.4</v>
      </c>
      <c r="E18" s="95">
        <v>215.2</v>
      </c>
      <c r="F18" s="96">
        <v>481.2</v>
      </c>
      <c r="G18" s="95">
        <v>292</v>
      </c>
      <c r="H18" s="95">
        <v>78.400000000000006</v>
      </c>
      <c r="I18" s="96">
        <v>213.6</v>
      </c>
      <c r="J18" s="98">
        <v>12806</v>
      </c>
      <c r="K18" s="98">
        <v>585</v>
      </c>
    </row>
    <row r="19" spans="2:11" x14ac:dyDescent="0.2">
      <c r="B19" s="34" t="s">
        <v>372</v>
      </c>
      <c r="C19" s="92">
        <v>939.5</v>
      </c>
      <c r="D19" s="96">
        <v>676.7</v>
      </c>
      <c r="E19" s="96">
        <v>214.6</v>
      </c>
      <c r="F19" s="96">
        <v>462.1</v>
      </c>
      <c r="G19" s="96">
        <v>262.8</v>
      </c>
      <c r="H19" s="96">
        <v>72.7</v>
      </c>
      <c r="I19" s="96">
        <v>190.1</v>
      </c>
      <c r="J19" s="99">
        <v>12076</v>
      </c>
      <c r="K19" s="99">
        <v>572</v>
      </c>
    </row>
    <row r="20" spans="2:11" x14ac:dyDescent="0.2">
      <c r="B20" s="24" t="s">
        <v>373</v>
      </c>
      <c r="C20" s="92">
        <v>818.6</v>
      </c>
      <c r="D20" s="95">
        <v>574.79999999999995</v>
      </c>
      <c r="E20" s="96">
        <v>196</v>
      </c>
      <c r="F20" s="96">
        <v>379</v>
      </c>
      <c r="G20" s="95">
        <v>243.8</v>
      </c>
      <c r="H20" s="100">
        <v>48.7</v>
      </c>
      <c r="I20" s="101">
        <v>195</v>
      </c>
      <c r="J20" s="97">
        <v>10207.9</v>
      </c>
      <c r="K20" s="97">
        <v>553</v>
      </c>
    </row>
    <row r="21" spans="2:11" s="29" customFormat="1" x14ac:dyDescent="0.2">
      <c r="B21" s="102" t="s">
        <v>407</v>
      </c>
      <c r="C21" s="103">
        <v>782.6</v>
      </c>
      <c r="D21" s="104">
        <v>518.4</v>
      </c>
      <c r="E21" s="105">
        <v>198.1</v>
      </c>
      <c r="F21" s="105">
        <v>320.3</v>
      </c>
      <c r="G21" s="104">
        <v>264.2</v>
      </c>
      <c r="H21" s="106">
        <v>65.2</v>
      </c>
      <c r="I21" s="107">
        <v>199</v>
      </c>
      <c r="J21" s="108">
        <v>9626</v>
      </c>
      <c r="K21" s="108">
        <v>485</v>
      </c>
    </row>
    <row r="22" spans="2:11" x14ac:dyDescent="0.2">
      <c r="B22" s="34"/>
      <c r="C22" s="92"/>
      <c r="D22" s="95"/>
      <c r="E22" s="95"/>
      <c r="F22" s="96"/>
      <c r="G22" s="95"/>
      <c r="H22" s="95"/>
      <c r="I22" s="96"/>
      <c r="J22" s="97"/>
      <c r="K22" s="109"/>
    </row>
    <row r="23" spans="2:11" x14ac:dyDescent="0.2">
      <c r="B23" s="34" t="s">
        <v>375</v>
      </c>
      <c r="C23" s="92">
        <v>57</v>
      </c>
      <c r="D23" s="95">
        <v>42</v>
      </c>
      <c r="E23" s="95">
        <v>15.5</v>
      </c>
      <c r="F23" s="96">
        <f t="shared" ref="F23:F28" si="0">D23-E23</f>
        <v>26.5</v>
      </c>
      <c r="G23" s="95">
        <v>15</v>
      </c>
      <c r="H23" s="95">
        <v>3.2</v>
      </c>
      <c r="I23" s="96">
        <v>11.8</v>
      </c>
      <c r="J23" s="97">
        <v>703</v>
      </c>
      <c r="K23" s="109" t="s">
        <v>103</v>
      </c>
    </row>
    <row r="24" spans="2:11" x14ac:dyDescent="0.2">
      <c r="B24" s="34" t="s">
        <v>377</v>
      </c>
      <c r="C24" s="92">
        <v>73.5</v>
      </c>
      <c r="D24" s="95">
        <v>54.6</v>
      </c>
      <c r="E24" s="95">
        <v>20.2</v>
      </c>
      <c r="F24" s="96">
        <f t="shared" si="0"/>
        <v>34.400000000000006</v>
      </c>
      <c r="G24" s="95">
        <v>18.899999999999999</v>
      </c>
      <c r="H24" s="95">
        <v>4.0999999999999996</v>
      </c>
      <c r="I24" s="96">
        <v>14.8</v>
      </c>
      <c r="J24" s="97">
        <v>905</v>
      </c>
      <c r="K24" s="109" t="s">
        <v>103</v>
      </c>
    </row>
    <row r="25" spans="2:11" x14ac:dyDescent="0.2">
      <c r="B25" s="34" t="s">
        <v>379</v>
      </c>
      <c r="C25" s="92">
        <v>82.5</v>
      </c>
      <c r="D25" s="95">
        <v>56</v>
      </c>
      <c r="E25" s="95">
        <v>20.8</v>
      </c>
      <c r="F25" s="96">
        <f t="shared" si="0"/>
        <v>35.200000000000003</v>
      </c>
      <c r="G25" s="95">
        <v>26.6</v>
      </c>
      <c r="H25" s="95">
        <v>6.2</v>
      </c>
      <c r="I25" s="96">
        <v>20.399999999999999</v>
      </c>
      <c r="J25" s="97">
        <v>1014</v>
      </c>
      <c r="K25" s="109">
        <v>539</v>
      </c>
    </row>
    <row r="26" spans="2:11" x14ac:dyDescent="0.2">
      <c r="B26" s="34" t="s">
        <v>381</v>
      </c>
      <c r="C26" s="92">
        <v>72.7</v>
      </c>
      <c r="D26" s="100">
        <v>43.7</v>
      </c>
      <c r="E26" s="95">
        <v>18.100000000000001</v>
      </c>
      <c r="F26" s="96">
        <f t="shared" si="0"/>
        <v>25.6</v>
      </c>
      <c r="G26" s="95">
        <v>29</v>
      </c>
      <c r="H26" s="95">
        <v>8.9</v>
      </c>
      <c r="I26" s="96">
        <v>20.100000000000001</v>
      </c>
      <c r="J26" s="97">
        <v>906</v>
      </c>
      <c r="K26" s="109" t="s">
        <v>103</v>
      </c>
    </row>
    <row r="27" spans="2:11" x14ac:dyDescent="0.2">
      <c r="B27" s="34" t="s">
        <v>382</v>
      </c>
      <c r="C27" s="92">
        <v>59.5</v>
      </c>
      <c r="D27" s="95">
        <v>36.200000000000003</v>
      </c>
      <c r="E27" s="95">
        <v>15.1</v>
      </c>
      <c r="F27" s="96">
        <f t="shared" si="0"/>
        <v>21.1</v>
      </c>
      <c r="G27" s="95">
        <v>23.3</v>
      </c>
      <c r="H27" s="95">
        <v>3.8</v>
      </c>
      <c r="I27" s="96">
        <v>19.399999999999999</v>
      </c>
      <c r="J27" s="97">
        <v>733</v>
      </c>
      <c r="K27" s="109" t="s">
        <v>103</v>
      </c>
    </row>
    <row r="28" spans="2:11" x14ac:dyDescent="0.2">
      <c r="B28" s="24" t="s">
        <v>384</v>
      </c>
      <c r="C28" s="110">
        <v>53.5</v>
      </c>
      <c r="D28" s="101">
        <v>31.7</v>
      </c>
      <c r="E28" s="101">
        <v>12</v>
      </c>
      <c r="F28" s="101">
        <f t="shared" si="0"/>
        <v>19.7</v>
      </c>
      <c r="G28" s="101">
        <v>21.8</v>
      </c>
      <c r="H28" s="101">
        <v>4.5999999999999996</v>
      </c>
      <c r="I28" s="101">
        <v>17.2</v>
      </c>
      <c r="J28" s="111">
        <v>650</v>
      </c>
      <c r="K28" s="97">
        <v>515</v>
      </c>
    </row>
    <row r="29" spans="2:11" x14ac:dyDescent="0.2">
      <c r="B29" s="34"/>
      <c r="C29" s="92"/>
      <c r="D29" s="95"/>
      <c r="E29" s="95"/>
      <c r="F29" s="96"/>
      <c r="G29" s="95"/>
      <c r="H29" s="95"/>
      <c r="I29" s="96"/>
      <c r="J29" s="97"/>
      <c r="K29" s="109"/>
    </row>
    <row r="30" spans="2:11" x14ac:dyDescent="0.2">
      <c r="B30" s="34" t="s">
        <v>385</v>
      </c>
      <c r="C30" s="92">
        <v>56.6</v>
      </c>
      <c r="D30" s="95">
        <v>34.200000000000003</v>
      </c>
      <c r="E30" s="95">
        <v>12.5</v>
      </c>
      <c r="F30" s="96">
        <f t="shared" ref="F30:F35" si="1">D30-E30</f>
        <v>21.700000000000003</v>
      </c>
      <c r="G30" s="95">
        <v>22.4</v>
      </c>
      <c r="H30" s="95">
        <v>4.5</v>
      </c>
      <c r="I30" s="96">
        <v>17.899999999999999</v>
      </c>
      <c r="J30" s="97">
        <v>690</v>
      </c>
      <c r="K30" s="109" t="s">
        <v>103</v>
      </c>
    </row>
    <row r="31" spans="2:11" x14ac:dyDescent="0.2">
      <c r="B31" s="34" t="s">
        <v>386</v>
      </c>
      <c r="C31" s="92">
        <v>55.6</v>
      </c>
      <c r="D31" s="95">
        <v>36.1</v>
      </c>
      <c r="E31" s="95">
        <v>13.5</v>
      </c>
      <c r="F31" s="96">
        <f t="shared" si="1"/>
        <v>22.6</v>
      </c>
      <c r="G31" s="95">
        <v>19.399999999999999</v>
      </c>
      <c r="H31" s="95">
        <v>4.5999999999999996</v>
      </c>
      <c r="I31" s="96">
        <v>14.8</v>
      </c>
      <c r="J31" s="97">
        <v>681</v>
      </c>
      <c r="K31" s="109" t="s">
        <v>103</v>
      </c>
    </row>
    <row r="32" spans="2:11" x14ac:dyDescent="0.2">
      <c r="B32" s="34" t="s">
        <v>387</v>
      </c>
      <c r="C32" s="92">
        <v>58</v>
      </c>
      <c r="D32" s="95">
        <v>37.299999999999997</v>
      </c>
      <c r="E32" s="95">
        <v>13.1</v>
      </c>
      <c r="F32" s="96">
        <f t="shared" si="1"/>
        <v>24.199999999999996</v>
      </c>
      <c r="G32" s="95">
        <v>20.7</v>
      </c>
      <c r="H32" s="95">
        <v>4.8</v>
      </c>
      <c r="I32" s="96">
        <v>15.8</v>
      </c>
      <c r="J32" s="97">
        <v>716</v>
      </c>
      <c r="K32" s="109">
        <v>507</v>
      </c>
    </row>
    <row r="33" spans="1:11" x14ac:dyDescent="0.2">
      <c r="B33" s="34" t="s">
        <v>388</v>
      </c>
      <c r="C33" s="92">
        <v>70.599999999999994</v>
      </c>
      <c r="D33" s="95">
        <v>48.4</v>
      </c>
      <c r="E33" s="95">
        <v>18.899999999999999</v>
      </c>
      <c r="F33" s="96">
        <f t="shared" si="1"/>
        <v>29.5</v>
      </c>
      <c r="G33" s="95">
        <v>22.2</v>
      </c>
      <c r="H33" s="95">
        <v>5.3</v>
      </c>
      <c r="I33" s="96">
        <v>16.899999999999999</v>
      </c>
      <c r="J33" s="97">
        <v>883</v>
      </c>
      <c r="K33" s="109" t="s">
        <v>103</v>
      </c>
    </row>
    <row r="34" spans="1:11" x14ac:dyDescent="0.2">
      <c r="B34" s="34" t="s">
        <v>389</v>
      </c>
      <c r="C34" s="92">
        <v>68</v>
      </c>
      <c r="D34" s="95">
        <v>45.3</v>
      </c>
      <c r="E34" s="95">
        <v>17.399999999999999</v>
      </c>
      <c r="F34" s="96">
        <f t="shared" si="1"/>
        <v>27.9</v>
      </c>
      <c r="G34" s="95">
        <v>22.7</v>
      </c>
      <c r="H34" s="95">
        <v>8.9</v>
      </c>
      <c r="I34" s="96">
        <v>13.8</v>
      </c>
      <c r="J34" s="97">
        <v>835</v>
      </c>
      <c r="K34" s="109" t="s">
        <v>103</v>
      </c>
    </row>
    <row r="35" spans="1:11" ht="18" thickBot="1" x14ac:dyDescent="0.25">
      <c r="B35" s="112" t="s">
        <v>390</v>
      </c>
      <c r="C35" s="113">
        <v>75.099999999999994</v>
      </c>
      <c r="D35" s="114">
        <v>52.8</v>
      </c>
      <c r="E35" s="115">
        <v>20.9</v>
      </c>
      <c r="F35" s="115">
        <f t="shared" si="1"/>
        <v>31.9</v>
      </c>
      <c r="G35" s="114">
        <v>22.4</v>
      </c>
      <c r="H35" s="115">
        <v>6.2</v>
      </c>
      <c r="I35" s="115">
        <v>16.100000000000001</v>
      </c>
      <c r="J35" s="112">
        <v>911</v>
      </c>
      <c r="K35" s="112">
        <v>485</v>
      </c>
    </row>
    <row r="36" spans="1:11" x14ac:dyDescent="0.2">
      <c r="B36" s="15"/>
      <c r="C36" s="1" t="s">
        <v>408</v>
      </c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1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">
      <c r="A38" s="1"/>
    </row>
  </sheetData>
  <phoneticPr fontId="2"/>
  <pageMargins left="0.34" right="0.4" top="0.55000000000000004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/>
  <dimension ref="A1:K862"/>
  <sheetViews>
    <sheetView showGridLines="0" topLeftCell="A19" zoomScale="75" zoomScaleNormal="75" workbookViewId="0">
      <selection activeCell="I36" sqref="I36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7.125" style="2" customWidth="1"/>
    <col min="4" max="4" width="18.375" style="2" customWidth="1"/>
    <col min="5" max="6" width="15.875" style="2"/>
    <col min="7" max="7" width="18.375" style="2" customWidth="1"/>
    <col min="8" max="9" width="17.125" style="2" customWidth="1"/>
    <col min="10" max="256" width="15.875" style="2"/>
    <col min="257" max="257" width="13.375" style="2" customWidth="1"/>
    <col min="258" max="258" width="5.875" style="2" customWidth="1"/>
    <col min="259" max="259" width="7.125" style="2" customWidth="1"/>
    <col min="260" max="260" width="18.375" style="2" customWidth="1"/>
    <col min="261" max="262" width="15.875" style="2"/>
    <col min="263" max="263" width="18.375" style="2" customWidth="1"/>
    <col min="264" max="265" width="17.125" style="2" customWidth="1"/>
    <col min="266" max="512" width="15.875" style="2"/>
    <col min="513" max="513" width="13.375" style="2" customWidth="1"/>
    <col min="514" max="514" width="5.875" style="2" customWidth="1"/>
    <col min="515" max="515" width="7.125" style="2" customWidth="1"/>
    <col min="516" max="516" width="18.375" style="2" customWidth="1"/>
    <col min="517" max="518" width="15.875" style="2"/>
    <col min="519" max="519" width="18.375" style="2" customWidth="1"/>
    <col min="520" max="521" width="17.125" style="2" customWidth="1"/>
    <col min="522" max="768" width="15.875" style="2"/>
    <col min="769" max="769" width="13.375" style="2" customWidth="1"/>
    <col min="770" max="770" width="5.875" style="2" customWidth="1"/>
    <col min="771" max="771" width="7.125" style="2" customWidth="1"/>
    <col min="772" max="772" width="18.375" style="2" customWidth="1"/>
    <col min="773" max="774" width="15.875" style="2"/>
    <col min="775" max="775" width="18.375" style="2" customWidth="1"/>
    <col min="776" max="777" width="17.125" style="2" customWidth="1"/>
    <col min="778" max="1024" width="15.875" style="2"/>
    <col min="1025" max="1025" width="13.375" style="2" customWidth="1"/>
    <col min="1026" max="1026" width="5.875" style="2" customWidth="1"/>
    <col min="1027" max="1027" width="7.125" style="2" customWidth="1"/>
    <col min="1028" max="1028" width="18.375" style="2" customWidth="1"/>
    <col min="1029" max="1030" width="15.875" style="2"/>
    <col min="1031" max="1031" width="18.375" style="2" customWidth="1"/>
    <col min="1032" max="1033" width="17.125" style="2" customWidth="1"/>
    <col min="1034" max="1280" width="15.875" style="2"/>
    <col min="1281" max="1281" width="13.375" style="2" customWidth="1"/>
    <col min="1282" max="1282" width="5.875" style="2" customWidth="1"/>
    <col min="1283" max="1283" width="7.125" style="2" customWidth="1"/>
    <col min="1284" max="1284" width="18.375" style="2" customWidth="1"/>
    <col min="1285" max="1286" width="15.875" style="2"/>
    <col min="1287" max="1287" width="18.375" style="2" customWidth="1"/>
    <col min="1288" max="1289" width="17.125" style="2" customWidth="1"/>
    <col min="1290" max="1536" width="15.875" style="2"/>
    <col min="1537" max="1537" width="13.375" style="2" customWidth="1"/>
    <col min="1538" max="1538" width="5.875" style="2" customWidth="1"/>
    <col min="1539" max="1539" width="7.125" style="2" customWidth="1"/>
    <col min="1540" max="1540" width="18.375" style="2" customWidth="1"/>
    <col min="1541" max="1542" width="15.875" style="2"/>
    <col min="1543" max="1543" width="18.375" style="2" customWidth="1"/>
    <col min="1544" max="1545" width="17.125" style="2" customWidth="1"/>
    <col min="1546" max="1792" width="15.875" style="2"/>
    <col min="1793" max="1793" width="13.375" style="2" customWidth="1"/>
    <col min="1794" max="1794" width="5.875" style="2" customWidth="1"/>
    <col min="1795" max="1795" width="7.125" style="2" customWidth="1"/>
    <col min="1796" max="1796" width="18.375" style="2" customWidth="1"/>
    <col min="1797" max="1798" width="15.875" style="2"/>
    <col min="1799" max="1799" width="18.375" style="2" customWidth="1"/>
    <col min="1800" max="1801" width="17.125" style="2" customWidth="1"/>
    <col min="1802" max="2048" width="15.875" style="2"/>
    <col min="2049" max="2049" width="13.375" style="2" customWidth="1"/>
    <col min="2050" max="2050" width="5.875" style="2" customWidth="1"/>
    <col min="2051" max="2051" width="7.125" style="2" customWidth="1"/>
    <col min="2052" max="2052" width="18.375" style="2" customWidth="1"/>
    <col min="2053" max="2054" width="15.875" style="2"/>
    <col min="2055" max="2055" width="18.375" style="2" customWidth="1"/>
    <col min="2056" max="2057" width="17.125" style="2" customWidth="1"/>
    <col min="2058" max="2304" width="15.875" style="2"/>
    <col min="2305" max="2305" width="13.375" style="2" customWidth="1"/>
    <col min="2306" max="2306" width="5.875" style="2" customWidth="1"/>
    <col min="2307" max="2307" width="7.125" style="2" customWidth="1"/>
    <col min="2308" max="2308" width="18.375" style="2" customWidth="1"/>
    <col min="2309" max="2310" width="15.875" style="2"/>
    <col min="2311" max="2311" width="18.375" style="2" customWidth="1"/>
    <col min="2312" max="2313" width="17.125" style="2" customWidth="1"/>
    <col min="2314" max="2560" width="15.875" style="2"/>
    <col min="2561" max="2561" width="13.375" style="2" customWidth="1"/>
    <col min="2562" max="2562" width="5.875" style="2" customWidth="1"/>
    <col min="2563" max="2563" width="7.125" style="2" customWidth="1"/>
    <col min="2564" max="2564" width="18.375" style="2" customWidth="1"/>
    <col min="2565" max="2566" width="15.875" style="2"/>
    <col min="2567" max="2567" width="18.375" style="2" customWidth="1"/>
    <col min="2568" max="2569" width="17.125" style="2" customWidth="1"/>
    <col min="2570" max="2816" width="15.875" style="2"/>
    <col min="2817" max="2817" width="13.375" style="2" customWidth="1"/>
    <col min="2818" max="2818" width="5.875" style="2" customWidth="1"/>
    <col min="2819" max="2819" width="7.125" style="2" customWidth="1"/>
    <col min="2820" max="2820" width="18.375" style="2" customWidth="1"/>
    <col min="2821" max="2822" width="15.875" style="2"/>
    <col min="2823" max="2823" width="18.375" style="2" customWidth="1"/>
    <col min="2824" max="2825" width="17.125" style="2" customWidth="1"/>
    <col min="2826" max="3072" width="15.875" style="2"/>
    <col min="3073" max="3073" width="13.375" style="2" customWidth="1"/>
    <col min="3074" max="3074" width="5.875" style="2" customWidth="1"/>
    <col min="3075" max="3075" width="7.125" style="2" customWidth="1"/>
    <col min="3076" max="3076" width="18.375" style="2" customWidth="1"/>
    <col min="3077" max="3078" width="15.875" style="2"/>
    <col min="3079" max="3079" width="18.375" style="2" customWidth="1"/>
    <col min="3080" max="3081" width="17.125" style="2" customWidth="1"/>
    <col min="3082" max="3328" width="15.875" style="2"/>
    <col min="3329" max="3329" width="13.375" style="2" customWidth="1"/>
    <col min="3330" max="3330" width="5.875" style="2" customWidth="1"/>
    <col min="3331" max="3331" width="7.125" style="2" customWidth="1"/>
    <col min="3332" max="3332" width="18.375" style="2" customWidth="1"/>
    <col min="3333" max="3334" width="15.875" style="2"/>
    <col min="3335" max="3335" width="18.375" style="2" customWidth="1"/>
    <col min="3336" max="3337" width="17.125" style="2" customWidth="1"/>
    <col min="3338" max="3584" width="15.875" style="2"/>
    <col min="3585" max="3585" width="13.375" style="2" customWidth="1"/>
    <col min="3586" max="3586" width="5.875" style="2" customWidth="1"/>
    <col min="3587" max="3587" width="7.125" style="2" customWidth="1"/>
    <col min="3588" max="3588" width="18.375" style="2" customWidth="1"/>
    <col min="3589" max="3590" width="15.875" style="2"/>
    <col min="3591" max="3591" width="18.375" style="2" customWidth="1"/>
    <col min="3592" max="3593" width="17.125" style="2" customWidth="1"/>
    <col min="3594" max="3840" width="15.875" style="2"/>
    <col min="3841" max="3841" width="13.375" style="2" customWidth="1"/>
    <col min="3842" max="3842" width="5.875" style="2" customWidth="1"/>
    <col min="3843" max="3843" width="7.125" style="2" customWidth="1"/>
    <col min="3844" max="3844" width="18.375" style="2" customWidth="1"/>
    <col min="3845" max="3846" width="15.875" style="2"/>
    <col min="3847" max="3847" width="18.375" style="2" customWidth="1"/>
    <col min="3848" max="3849" width="17.125" style="2" customWidth="1"/>
    <col min="3850" max="4096" width="15.875" style="2"/>
    <col min="4097" max="4097" width="13.375" style="2" customWidth="1"/>
    <col min="4098" max="4098" width="5.875" style="2" customWidth="1"/>
    <col min="4099" max="4099" width="7.125" style="2" customWidth="1"/>
    <col min="4100" max="4100" width="18.375" style="2" customWidth="1"/>
    <col min="4101" max="4102" width="15.875" style="2"/>
    <col min="4103" max="4103" width="18.375" style="2" customWidth="1"/>
    <col min="4104" max="4105" width="17.125" style="2" customWidth="1"/>
    <col min="4106" max="4352" width="15.875" style="2"/>
    <col min="4353" max="4353" width="13.375" style="2" customWidth="1"/>
    <col min="4354" max="4354" width="5.875" style="2" customWidth="1"/>
    <col min="4355" max="4355" width="7.125" style="2" customWidth="1"/>
    <col min="4356" max="4356" width="18.375" style="2" customWidth="1"/>
    <col min="4357" max="4358" width="15.875" style="2"/>
    <col min="4359" max="4359" width="18.375" style="2" customWidth="1"/>
    <col min="4360" max="4361" width="17.125" style="2" customWidth="1"/>
    <col min="4362" max="4608" width="15.875" style="2"/>
    <col min="4609" max="4609" width="13.375" style="2" customWidth="1"/>
    <col min="4610" max="4610" width="5.875" style="2" customWidth="1"/>
    <col min="4611" max="4611" width="7.125" style="2" customWidth="1"/>
    <col min="4612" max="4612" width="18.375" style="2" customWidth="1"/>
    <col min="4613" max="4614" width="15.875" style="2"/>
    <col min="4615" max="4615" width="18.375" style="2" customWidth="1"/>
    <col min="4616" max="4617" width="17.125" style="2" customWidth="1"/>
    <col min="4618" max="4864" width="15.875" style="2"/>
    <col min="4865" max="4865" width="13.375" style="2" customWidth="1"/>
    <col min="4866" max="4866" width="5.875" style="2" customWidth="1"/>
    <col min="4867" max="4867" width="7.125" style="2" customWidth="1"/>
    <col min="4868" max="4868" width="18.375" style="2" customWidth="1"/>
    <col min="4869" max="4870" width="15.875" style="2"/>
    <col min="4871" max="4871" width="18.375" style="2" customWidth="1"/>
    <col min="4872" max="4873" width="17.125" style="2" customWidth="1"/>
    <col min="4874" max="5120" width="15.875" style="2"/>
    <col min="5121" max="5121" width="13.375" style="2" customWidth="1"/>
    <col min="5122" max="5122" width="5.875" style="2" customWidth="1"/>
    <col min="5123" max="5123" width="7.125" style="2" customWidth="1"/>
    <col min="5124" max="5124" width="18.375" style="2" customWidth="1"/>
    <col min="5125" max="5126" width="15.875" style="2"/>
    <col min="5127" max="5127" width="18.375" style="2" customWidth="1"/>
    <col min="5128" max="5129" width="17.125" style="2" customWidth="1"/>
    <col min="5130" max="5376" width="15.875" style="2"/>
    <col min="5377" max="5377" width="13.375" style="2" customWidth="1"/>
    <col min="5378" max="5378" width="5.875" style="2" customWidth="1"/>
    <col min="5379" max="5379" width="7.125" style="2" customWidth="1"/>
    <col min="5380" max="5380" width="18.375" style="2" customWidth="1"/>
    <col min="5381" max="5382" width="15.875" style="2"/>
    <col min="5383" max="5383" width="18.375" style="2" customWidth="1"/>
    <col min="5384" max="5385" width="17.125" style="2" customWidth="1"/>
    <col min="5386" max="5632" width="15.875" style="2"/>
    <col min="5633" max="5633" width="13.375" style="2" customWidth="1"/>
    <col min="5634" max="5634" width="5.875" style="2" customWidth="1"/>
    <col min="5635" max="5635" width="7.125" style="2" customWidth="1"/>
    <col min="5636" max="5636" width="18.375" style="2" customWidth="1"/>
    <col min="5637" max="5638" width="15.875" style="2"/>
    <col min="5639" max="5639" width="18.375" style="2" customWidth="1"/>
    <col min="5640" max="5641" width="17.125" style="2" customWidth="1"/>
    <col min="5642" max="5888" width="15.875" style="2"/>
    <col min="5889" max="5889" width="13.375" style="2" customWidth="1"/>
    <col min="5890" max="5890" width="5.875" style="2" customWidth="1"/>
    <col min="5891" max="5891" width="7.125" style="2" customWidth="1"/>
    <col min="5892" max="5892" width="18.375" style="2" customWidth="1"/>
    <col min="5893" max="5894" width="15.875" style="2"/>
    <col min="5895" max="5895" width="18.375" style="2" customWidth="1"/>
    <col min="5896" max="5897" width="17.125" style="2" customWidth="1"/>
    <col min="5898" max="6144" width="15.875" style="2"/>
    <col min="6145" max="6145" width="13.375" style="2" customWidth="1"/>
    <col min="6146" max="6146" width="5.875" style="2" customWidth="1"/>
    <col min="6147" max="6147" width="7.125" style="2" customWidth="1"/>
    <col min="6148" max="6148" width="18.375" style="2" customWidth="1"/>
    <col min="6149" max="6150" width="15.875" style="2"/>
    <col min="6151" max="6151" width="18.375" style="2" customWidth="1"/>
    <col min="6152" max="6153" width="17.125" style="2" customWidth="1"/>
    <col min="6154" max="6400" width="15.875" style="2"/>
    <col min="6401" max="6401" width="13.375" style="2" customWidth="1"/>
    <col min="6402" max="6402" width="5.875" style="2" customWidth="1"/>
    <col min="6403" max="6403" width="7.125" style="2" customWidth="1"/>
    <col min="6404" max="6404" width="18.375" style="2" customWidth="1"/>
    <col min="6405" max="6406" width="15.875" style="2"/>
    <col min="6407" max="6407" width="18.375" style="2" customWidth="1"/>
    <col min="6408" max="6409" width="17.125" style="2" customWidth="1"/>
    <col min="6410" max="6656" width="15.875" style="2"/>
    <col min="6657" max="6657" width="13.375" style="2" customWidth="1"/>
    <col min="6658" max="6658" width="5.875" style="2" customWidth="1"/>
    <col min="6659" max="6659" width="7.125" style="2" customWidth="1"/>
    <col min="6660" max="6660" width="18.375" style="2" customWidth="1"/>
    <col min="6661" max="6662" width="15.875" style="2"/>
    <col min="6663" max="6663" width="18.375" style="2" customWidth="1"/>
    <col min="6664" max="6665" width="17.125" style="2" customWidth="1"/>
    <col min="6666" max="6912" width="15.875" style="2"/>
    <col min="6913" max="6913" width="13.375" style="2" customWidth="1"/>
    <col min="6914" max="6914" width="5.875" style="2" customWidth="1"/>
    <col min="6915" max="6915" width="7.125" style="2" customWidth="1"/>
    <col min="6916" max="6916" width="18.375" style="2" customWidth="1"/>
    <col min="6917" max="6918" width="15.875" style="2"/>
    <col min="6919" max="6919" width="18.375" style="2" customWidth="1"/>
    <col min="6920" max="6921" width="17.125" style="2" customWidth="1"/>
    <col min="6922" max="7168" width="15.875" style="2"/>
    <col min="7169" max="7169" width="13.375" style="2" customWidth="1"/>
    <col min="7170" max="7170" width="5.875" style="2" customWidth="1"/>
    <col min="7171" max="7171" width="7.125" style="2" customWidth="1"/>
    <col min="7172" max="7172" width="18.375" style="2" customWidth="1"/>
    <col min="7173" max="7174" width="15.875" style="2"/>
    <col min="7175" max="7175" width="18.375" style="2" customWidth="1"/>
    <col min="7176" max="7177" width="17.125" style="2" customWidth="1"/>
    <col min="7178" max="7424" width="15.875" style="2"/>
    <col min="7425" max="7425" width="13.375" style="2" customWidth="1"/>
    <col min="7426" max="7426" width="5.875" style="2" customWidth="1"/>
    <col min="7427" max="7427" width="7.125" style="2" customWidth="1"/>
    <col min="7428" max="7428" width="18.375" style="2" customWidth="1"/>
    <col min="7429" max="7430" width="15.875" style="2"/>
    <col min="7431" max="7431" width="18.375" style="2" customWidth="1"/>
    <col min="7432" max="7433" width="17.125" style="2" customWidth="1"/>
    <col min="7434" max="7680" width="15.875" style="2"/>
    <col min="7681" max="7681" width="13.375" style="2" customWidth="1"/>
    <col min="7682" max="7682" width="5.875" style="2" customWidth="1"/>
    <col min="7683" max="7683" width="7.125" style="2" customWidth="1"/>
    <col min="7684" max="7684" width="18.375" style="2" customWidth="1"/>
    <col min="7685" max="7686" width="15.875" style="2"/>
    <col min="7687" max="7687" width="18.375" style="2" customWidth="1"/>
    <col min="7688" max="7689" width="17.125" style="2" customWidth="1"/>
    <col min="7690" max="7936" width="15.875" style="2"/>
    <col min="7937" max="7937" width="13.375" style="2" customWidth="1"/>
    <col min="7938" max="7938" width="5.875" style="2" customWidth="1"/>
    <col min="7939" max="7939" width="7.125" style="2" customWidth="1"/>
    <col min="7940" max="7940" width="18.375" style="2" customWidth="1"/>
    <col min="7941" max="7942" width="15.875" style="2"/>
    <col min="7943" max="7943" width="18.375" style="2" customWidth="1"/>
    <col min="7944" max="7945" width="17.125" style="2" customWidth="1"/>
    <col min="7946" max="8192" width="15.875" style="2"/>
    <col min="8193" max="8193" width="13.375" style="2" customWidth="1"/>
    <col min="8194" max="8194" width="5.875" style="2" customWidth="1"/>
    <col min="8195" max="8195" width="7.125" style="2" customWidth="1"/>
    <col min="8196" max="8196" width="18.375" style="2" customWidth="1"/>
    <col min="8197" max="8198" width="15.875" style="2"/>
    <col min="8199" max="8199" width="18.375" style="2" customWidth="1"/>
    <col min="8200" max="8201" width="17.125" style="2" customWidth="1"/>
    <col min="8202" max="8448" width="15.875" style="2"/>
    <col min="8449" max="8449" width="13.375" style="2" customWidth="1"/>
    <col min="8450" max="8450" width="5.875" style="2" customWidth="1"/>
    <col min="8451" max="8451" width="7.125" style="2" customWidth="1"/>
    <col min="8452" max="8452" width="18.375" style="2" customWidth="1"/>
    <col min="8453" max="8454" width="15.875" style="2"/>
    <col min="8455" max="8455" width="18.375" style="2" customWidth="1"/>
    <col min="8456" max="8457" width="17.125" style="2" customWidth="1"/>
    <col min="8458" max="8704" width="15.875" style="2"/>
    <col min="8705" max="8705" width="13.375" style="2" customWidth="1"/>
    <col min="8706" max="8706" width="5.875" style="2" customWidth="1"/>
    <col min="8707" max="8707" width="7.125" style="2" customWidth="1"/>
    <col min="8708" max="8708" width="18.375" style="2" customWidth="1"/>
    <col min="8709" max="8710" width="15.875" style="2"/>
    <col min="8711" max="8711" width="18.375" style="2" customWidth="1"/>
    <col min="8712" max="8713" width="17.125" style="2" customWidth="1"/>
    <col min="8714" max="8960" width="15.875" style="2"/>
    <col min="8961" max="8961" width="13.375" style="2" customWidth="1"/>
    <col min="8962" max="8962" width="5.875" style="2" customWidth="1"/>
    <col min="8963" max="8963" width="7.125" style="2" customWidth="1"/>
    <col min="8964" max="8964" width="18.375" style="2" customWidth="1"/>
    <col min="8965" max="8966" width="15.875" style="2"/>
    <col min="8967" max="8967" width="18.375" style="2" customWidth="1"/>
    <col min="8968" max="8969" width="17.125" style="2" customWidth="1"/>
    <col min="8970" max="9216" width="15.875" style="2"/>
    <col min="9217" max="9217" width="13.375" style="2" customWidth="1"/>
    <col min="9218" max="9218" width="5.875" style="2" customWidth="1"/>
    <col min="9219" max="9219" width="7.125" style="2" customWidth="1"/>
    <col min="9220" max="9220" width="18.375" style="2" customWidth="1"/>
    <col min="9221" max="9222" width="15.875" style="2"/>
    <col min="9223" max="9223" width="18.375" style="2" customWidth="1"/>
    <col min="9224" max="9225" width="17.125" style="2" customWidth="1"/>
    <col min="9226" max="9472" width="15.875" style="2"/>
    <col min="9473" max="9473" width="13.375" style="2" customWidth="1"/>
    <col min="9474" max="9474" width="5.875" style="2" customWidth="1"/>
    <col min="9475" max="9475" width="7.125" style="2" customWidth="1"/>
    <col min="9476" max="9476" width="18.375" style="2" customWidth="1"/>
    <col min="9477" max="9478" width="15.875" style="2"/>
    <col min="9479" max="9479" width="18.375" style="2" customWidth="1"/>
    <col min="9480" max="9481" width="17.125" style="2" customWidth="1"/>
    <col min="9482" max="9728" width="15.875" style="2"/>
    <col min="9729" max="9729" width="13.375" style="2" customWidth="1"/>
    <col min="9730" max="9730" width="5.875" style="2" customWidth="1"/>
    <col min="9731" max="9731" width="7.125" style="2" customWidth="1"/>
    <col min="9732" max="9732" width="18.375" style="2" customWidth="1"/>
    <col min="9733" max="9734" width="15.875" style="2"/>
    <col min="9735" max="9735" width="18.375" style="2" customWidth="1"/>
    <col min="9736" max="9737" width="17.125" style="2" customWidth="1"/>
    <col min="9738" max="9984" width="15.875" style="2"/>
    <col min="9985" max="9985" width="13.375" style="2" customWidth="1"/>
    <col min="9986" max="9986" width="5.875" style="2" customWidth="1"/>
    <col min="9987" max="9987" width="7.125" style="2" customWidth="1"/>
    <col min="9988" max="9988" width="18.375" style="2" customWidth="1"/>
    <col min="9989" max="9990" width="15.875" style="2"/>
    <col min="9991" max="9991" width="18.375" style="2" customWidth="1"/>
    <col min="9992" max="9993" width="17.125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7.125" style="2" customWidth="1"/>
    <col min="10244" max="10244" width="18.375" style="2" customWidth="1"/>
    <col min="10245" max="10246" width="15.875" style="2"/>
    <col min="10247" max="10247" width="18.375" style="2" customWidth="1"/>
    <col min="10248" max="10249" width="17.125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7.125" style="2" customWidth="1"/>
    <col min="10500" max="10500" width="18.375" style="2" customWidth="1"/>
    <col min="10501" max="10502" width="15.875" style="2"/>
    <col min="10503" max="10503" width="18.375" style="2" customWidth="1"/>
    <col min="10504" max="10505" width="17.125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7.125" style="2" customWidth="1"/>
    <col min="10756" max="10756" width="18.375" style="2" customWidth="1"/>
    <col min="10757" max="10758" width="15.875" style="2"/>
    <col min="10759" max="10759" width="18.375" style="2" customWidth="1"/>
    <col min="10760" max="10761" width="17.125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7.125" style="2" customWidth="1"/>
    <col min="11012" max="11012" width="18.375" style="2" customWidth="1"/>
    <col min="11013" max="11014" width="15.875" style="2"/>
    <col min="11015" max="11015" width="18.375" style="2" customWidth="1"/>
    <col min="11016" max="11017" width="17.125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7.125" style="2" customWidth="1"/>
    <col min="11268" max="11268" width="18.375" style="2" customWidth="1"/>
    <col min="11269" max="11270" width="15.875" style="2"/>
    <col min="11271" max="11271" width="18.375" style="2" customWidth="1"/>
    <col min="11272" max="11273" width="17.125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7.125" style="2" customWidth="1"/>
    <col min="11524" max="11524" width="18.375" style="2" customWidth="1"/>
    <col min="11525" max="11526" width="15.875" style="2"/>
    <col min="11527" max="11527" width="18.375" style="2" customWidth="1"/>
    <col min="11528" max="11529" width="17.125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7.125" style="2" customWidth="1"/>
    <col min="11780" max="11780" width="18.375" style="2" customWidth="1"/>
    <col min="11781" max="11782" width="15.875" style="2"/>
    <col min="11783" max="11783" width="18.375" style="2" customWidth="1"/>
    <col min="11784" max="11785" width="17.125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7.125" style="2" customWidth="1"/>
    <col min="12036" max="12036" width="18.375" style="2" customWidth="1"/>
    <col min="12037" max="12038" width="15.875" style="2"/>
    <col min="12039" max="12039" width="18.375" style="2" customWidth="1"/>
    <col min="12040" max="12041" width="17.125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7.125" style="2" customWidth="1"/>
    <col min="12292" max="12292" width="18.375" style="2" customWidth="1"/>
    <col min="12293" max="12294" width="15.875" style="2"/>
    <col min="12295" max="12295" width="18.375" style="2" customWidth="1"/>
    <col min="12296" max="12297" width="17.125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7.125" style="2" customWidth="1"/>
    <col min="12548" max="12548" width="18.375" style="2" customWidth="1"/>
    <col min="12549" max="12550" width="15.875" style="2"/>
    <col min="12551" max="12551" width="18.375" style="2" customWidth="1"/>
    <col min="12552" max="12553" width="17.125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7.125" style="2" customWidth="1"/>
    <col min="12804" max="12804" width="18.375" style="2" customWidth="1"/>
    <col min="12805" max="12806" width="15.875" style="2"/>
    <col min="12807" max="12807" width="18.375" style="2" customWidth="1"/>
    <col min="12808" max="12809" width="17.125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7.125" style="2" customWidth="1"/>
    <col min="13060" max="13060" width="18.375" style="2" customWidth="1"/>
    <col min="13061" max="13062" width="15.875" style="2"/>
    <col min="13063" max="13063" width="18.375" style="2" customWidth="1"/>
    <col min="13064" max="13065" width="17.125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7.125" style="2" customWidth="1"/>
    <col min="13316" max="13316" width="18.375" style="2" customWidth="1"/>
    <col min="13317" max="13318" width="15.875" style="2"/>
    <col min="13319" max="13319" width="18.375" style="2" customWidth="1"/>
    <col min="13320" max="13321" width="17.125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7.125" style="2" customWidth="1"/>
    <col min="13572" max="13572" width="18.375" style="2" customWidth="1"/>
    <col min="13573" max="13574" width="15.875" style="2"/>
    <col min="13575" max="13575" width="18.375" style="2" customWidth="1"/>
    <col min="13576" max="13577" width="17.125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7.125" style="2" customWidth="1"/>
    <col min="13828" max="13828" width="18.375" style="2" customWidth="1"/>
    <col min="13829" max="13830" width="15.875" style="2"/>
    <col min="13831" max="13831" width="18.375" style="2" customWidth="1"/>
    <col min="13832" max="13833" width="17.125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7.125" style="2" customWidth="1"/>
    <col min="14084" max="14084" width="18.375" style="2" customWidth="1"/>
    <col min="14085" max="14086" width="15.875" style="2"/>
    <col min="14087" max="14087" width="18.375" style="2" customWidth="1"/>
    <col min="14088" max="14089" width="17.125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7.125" style="2" customWidth="1"/>
    <col min="14340" max="14340" width="18.375" style="2" customWidth="1"/>
    <col min="14341" max="14342" width="15.875" style="2"/>
    <col min="14343" max="14343" width="18.375" style="2" customWidth="1"/>
    <col min="14344" max="14345" width="17.125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7.125" style="2" customWidth="1"/>
    <col min="14596" max="14596" width="18.375" style="2" customWidth="1"/>
    <col min="14597" max="14598" width="15.875" style="2"/>
    <col min="14599" max="14599" width="18.375" style="2" customWidth="1"/>
    <col min="14600" max="14601" width="17.125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7.125" style="2" customWidth="1"/>
    <col min="14852" max="14852" width="18.375" style="2" customWidth="1"/>
    <col min="14853" max="14854" width="15.875" style="2"/>
    <col min="14855" max="14855" width="18.375" style="2" customWidth="1"/>
    <col min="14856" max="14857" width="17.125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7.125" style="2" customWidth="1"/>
    <col min="15108" max="15108" width="18.375" style="2" customWidth="1"/>
    <col min="15109" max="15110" width="15.875" style="2"/>
    <col min="15111" max="15111" width="18.375" style="2" customWidth="1"/>
    <col min="15112" max="15113" width="17.125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7.125" style="2" customWidth="1"/>
    <col min="15364" max="15364" width="18.375" style="2" customWidth="1"/>
    <col min="15365" max="15366" width="15.875" style="2"/>
    <col min="15367" max="15367" width="18.375" style="2" customWidth="1"/>
    <col min="15368" max="15369" width="17.125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7.125" style="2" customWidth="1"/>
    <col min="15620" max="15620" width="18.375" style="2" customWidth="1"/>
    <col min="15621" max="15622" width="15.875" style="2"/>
    <col min="15623" max="15623" width="18.375" style="2" customWidth="1"/>
    <col min="15624" max="15625" width="17.125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7.125" style="2" customWidth="1"/>
    <col min="15876" max="15876" width="18.375" style="2" customWidth="1"/>
    <col min="15877" max="15878" width="15.875" style="2"/>
    <col min="15879" max="15879" width="18.375" style="2" customWidth="1"/>
    <col min="15880" max="15881" width="17.125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7.125" style="2" customWidth="1"/>
    <col min="16132" max="16132" width="18.375" style="2" customWidth="1"/>
    <col min="16133" max="16134" width="15.875" style="2"/>
    <col min="16135" max="16135" width="18.375" style="2" customWidth="1"/>
    <col min="16136" max="16137" width="17.125" style="2" customWidth="1"/>
    <col min="16138" max="16384" width="15.875" style="2"/>
  </cols>
  <sheetData>
    <row r="1" spans="1:10" x14ac:dyDescent="0.2">
      <c r="A1" s="1"/>
    </row>
    <row r="6" spans="1:10" x14ac:dyDescent="0.2">
      <c r="E6" s="4" t="s">
        <v>247</v>
      </c>
    </row>
    <row r="7" spans="1:10" x14ac:dyDescent="0.2">
      <c r="E7" s="1" t="s">
        <v>248</v>
      </c>
    </row>
    <row r="9" spans="1:10" x14ac:dyDescent="0.2">
      <c r="D9" s="1" t="s">
        <v>249</v>
      </c>
    </row>
    <row r="10" spans="1:10" x14ac:dyDescent="0.2">
      <c r="D10" s="1" t="s">
        <v>250</v>
      </c>
    </row>
    <row r="11" spans="1:10" x14ac:dyDescent="0.2">
      <c r="D11" s="1" t="s">
        <v>251</v>
      </c>
    </row>
    <row r="12" spans="1:10" x14ac:dyDescent="0.2">
      <c r="D12" s="1" t="s">
        <v>252</v>
      </c>
    </row>
    <row r="13" spans="1:10" x14ac:dyDescent="0.2">
      <c r="D13" s="1" t="s">
        <v>253</v>
      </c>
    </row>
    <row r="14" spans="1:10" x14ac:dyDescent="0.2">
      <c r="D14" s="1" t="s">
        <v>254</v>
      </c>
    </row>
    <row r="15" spans="1:10" x14ac:dyDescent="0.2">
      <c r="D15" s="1" t="s">
        <v>255</v>
      </c>
    </row>
    <row r="16" spans="1:10" ht="18" thickBot="1" x14ac:dyDescent="0.25">
      <c r="B16" s="5"/>
      <c r="C16" s="5"/>
      <c r="D16" s="5"/>
      <c r="E16" s="5"/>
      <c r="F16" s="5"/>
      <c r="G16" s="5"/>
      <c r="H16" s="5"/>
      <c r="I16" s="5"/>
      <c r="J16" s="5"/>
    </row>
    <row r="17" spans="2:10" x14ac:dyDescent="0.2">
      <c r="E17" s="7"/>
      <c r="F17" s="7"/>
      <c r="G17" s="7"/>
      <c r="H17" s="8" t="s">
        <v>256</v>
      </c>
      <c r="I17" s="8" t="s">
        <v>257</v>
      </c>
      <c r="J17" s="8" t="s">
        <v>3</v>
      </c>
    </row>
    <row r="18" spans="2:10" x14ac:dyDescent="0.2">
      <c r="B18" s="10"/>
      <c r="C18" s="10"/>
      <c r="D18" s="10"/>
      <c r="E18" s="12" t="s">
        <v>258</v>
      </c>
      <c r="F18" s="12" t="s">
        <v>259</v>
      </c>
      <c r="G18" s="12" t="s">
        <v>6</v>
      </c>
      <c r="H18" s="35" t="s">
        <v>11</v>
      </c>
      <c r="I18" s="35" t="s">
        <v>260</v>
      </c>
      <c r="J18" s="35" t="s">
        <v>261</v>
      </c>
    </row>
    <row r="19" spans="2:10" x14ac:dyDescent="0.2">
      <c r="E19" s="7"/>
      <c r="F19" s="13" t="s">
        <v>14</v>
      </c>
      <c r="G19" s="13" t="s">
        <v>15</v>
      </c>
      <c r="H19" s="13" t="s">
        <v>15</v>
      </c>
      <c r="I19" s="13" t="s">
        <v>15</v>
      </c>
      <c r="J19" s="13" t="s">
        <v>15</v>
      </c>
    </row>
    <row r="20" spans="2:10" x14ac:dyDescent="0.2">
      <c r="C20" s="116" t="s">
        <v>262</v>
      </c>
      <c r="D20" s="117"/>
      <c r="E20" s="16">
        <v>3363</v>
      </c>
      <c r="F20" s="3">
        <v>64825</v>
      </c>
      <c r="G20" s="3">
        <v>268307</v>
      </c>
      <c r="H20" s="3">
        <v>1086457</v>
      </c>
      <c r="I20" s="3">
        <v>2234642</v>
      </c>
      <c r="J20" s="3">
        <v>820682</v>
      </c>
    </row>
    <row r="21" spans="2:10" x14ac:dyDescent="0.2">
      <c r="C21" s="79" t="s">
        <v>263</v>
      </c>
      <c r="D21" s="80"/>
      <c r="E21" s="7">
        <v>3128</v>
      </c>
      <c r="F21" s="2">
        <v>61538</v>
      </c>
      <c r="G21" s="2">
        <v>255518</v>
      </c>
      <c r="H21" s="2">
        <v>1062246</v>
      </c>
      <c r="I21" s="2">
        <v>2159182</v>
      </c>
      <c r="J21" s="2">
        <v>780629</v>
      </c>
    </row>
    <row r="22" spans="2:10" x14ac:dyDescent="0.2">
      <c r="C22" s="79" t="s">
        <v>264</v>
      </c>
      <c r="D22" s="1"/>
      <c r="E22" s="38">
        <v>3012</v>
      </c>
      <c r="F22" s="80">
        <v>59634</v>
      </c>
      <c r="G22" s="80">
        <v>253781</v>
      </c>
      <c r="H22" s="80">
        <v>1145535</v>
      </c>
      <c r="I22" s="80">
        <v>2265357</v>
      </c>
      <c r="J22" s="80">
        <v>832762</v>
      </c>
    </row>
    <row r="23" spans="2:10" x14ac:dyDescent="0.2">
      <c r="C23" s="81" t="s">
        <v>265</v>
      </c>
      <c r="D23" s="1"/>
      <c r="E23" s="14">
        <f>SUM(E26:E32)</f>
        <v>2847</v>
      </c>
      <c r="F23" s="15">
        <f>SUM(F26:F32)</f>
        <v>57418</v>
      </c>
      <c r="G23" s="15">
        <f>SUM(G26:G32)</f>
        <v>237552</v>
      </c>
      <c r="H23" s="15">
        <f>SUM(H26:H32)+1</f>
        <v>1070162</v>
      </c>
      <c r="I23" s="15">
        <f>SUM(I26:I32)-1</f>
        <v>2243396</v>
      </c>
      <c r="J23" s="15">
        <f>SUM(J26:J32)+1</f>
        <v>858160</v>
      </c>
    </row>
    <row r="24" spans="2:10" x14ac:dyDescent="0.2">
      <c r="E24" s="7"/>
    </row>
    <row r="25" spans="2:10" x14ac:dyDescent="0.2">
      <c r="C25" s="1" t="s">
        <v>266</v>
      </c>
      <c r="E25" s="7"/>
    </row>
    <row r="26" spans="2:10" x14ac:dyDescent="0.2">
      <c r="B26" s="1" t="s">
        <v>267</v>
      </c>
      <c r="E26" s="16">
        <v>1581</v>
      </c>
      <c r="F26" s="3">
        <v>9317</v>
      </c>
      <c r="G26" s="3">
        <v>22201</v>
      </c>
      <c r="H26" s="3">
        <v>46546</v>
      </c>
      <c r="I26" s="3">
        <v>94487</v>
      </c>
      <c r="J26" s="3">
        <v>45283</v>
      </c>
    </row>
    <row r="27" spans="2:10" x14ac:dyDescent="0.2">
      <c r="B27" s="1" t="s">
        <v>268</v>
      </c>
      <c r="E27" s="16">
        <v>653</v>
      </c>
      <c r="F27" s="3">
        <v>8819</v>
      </c>
      <c r="G27" s="3">
        <v>27157</v>
      </c>
      <c r="H27" s="3">
        <v>62710</v>
      </c>
      <c r="I27" s="3">
        <v>119089</v>
      </c>
      <c r="J27" s="3">
        <v>53621</v>
      </c>
    </row>
    <row r="28" spans="2:10" x14ac:dyDescent="0.2">
      <c r="B28" s="1" t="s">
        <v>269</v>
      </c>
      <c r="E28" s="16">
        <v>267</v>
      </c>
      <c r="F28" s="3">
        <v>6513</v>
      </c>
      <c r="G28" s="3">
        <v>22070</v>
      </c>
      <c r="H28" s="3">
        <v>88161</v>
      </c>
      <c r="I28" s="3">
        <v>143909</v>
      </c>
      <c r="J28" s="3">
        <v>53043</v>
      </c>
    </row>
    <row r="29" spans="2:10" x14ac:dyDescent="0.2">
      <c r="E29" s="7"/>
    </row>
    <row r="30" spans="2:10" x14ac:dyDescent="0.2">
      <c r="B30" s="1" t="s">
        <v>270</v>
      </c>
      <c r="E30" s="16">
        <v>278</v>
      </c>
      <c r="F30" s="3">
        <v>14465</v>
      </c>
      <c r="G30" s="3">
        <v>55472</v>
      </c>
      <c r="H30" s="3">
        <v>219851</v>
      </c>
      <c r="I30" s="3">
        <v>364916</v>
      </c>
      <c r="J30" s="3">
        <v>122262</v>
      </c>
    </row>
    <row r="31" spans="2:10" x14ac:dyDescent="0.2">
      <c r="B31" s="1" t="s">
        <v>271</v>
      </c>
      <c r="E31" s="16">
        <v>57</v>
      </c>
      <c r="F31" s="3">
        <v>8450</v>
      </c>
      <c r="G31" s="3">
        <v>42455</v>
      </c>
      <c r="H31" s="3">
        <v>176255</v>
      </c>
      <c r="I31" s="3">
        <v>429867</v>
      </c>
      <c r="J31" s="3">
        <v>164998</v>
      </c>
    </row>
    <row r="32" spans="2:10" x14ac:dyDescent="0.2">
      <c r="B32" s="1" t="s">
        <v>272</v>
      </c>
      <c r="E32" s="16">
        <v>11</v>
      </c>
      <c r="F32" s="3">
        <v>9854</v>
      </c>
      <c r="G32" s="3">
        <v>68197</v>
      </c>
      <c r="H32" s="3">
        <v>476638</v>
      </c>
      <c r="I32" s="3">
        <v>1091129</v>
      </c>
      <c r="J32" s="3">
        <v>418952</v>
      </c>
    </row>
    <row r="33" spans="2:10" ht="18" thickBot="1" x14ac:dyDescent="0.25">
      <c r="B33" s="5"/>
      <c r="C33" s="5"/>
      <c r="D33" s="5"/>
      <c r="E33" s="41"/>
      <c r="F33" s="5"/>
      <c r="G33" s="5"/>
      <c r="H33" s="5"/>
      <c r="I33" s="5"/>
      <c r="J33" s="5"/>
    </row>
    <row r="34" spans="2:10" x14ac:dyDescent="0.2">
      <c r="C34" s="1"/>
      <c r="D34" s="1" t="s">
        <v>273</v>
      </c>
      <c r="E34" s="1"/>
      <c r="H34" s="1" t="s">
        <v>274</v>
      </c>
    </row>
    <row r="35" spans="2:10" x14ac:dyDescent="0.2">
      <c r="E35" s="1"/>
      <c r="H35" s="1"/>
    </row>
    <row r="38" spans="2:10" x14ac:dyDescent="0.2">
      <c r="E38" s="4" t="s">
        <v>275</v>
      </c>
      <c r="H38" s="1" t="s">
        <v>276</v>
      </c>
    </row>
    <row r="39" spans="2:10" ht="18" thickBot="1" x14ac:dyDescent="0.25">
      <c r="B39" s="5"/>
      <c r="C39" s="5"/>
      <c r="D39" s="5"/>
      <c r="E39" s="6" t="s">
        <v>277</v>
      </c>
      <c r="F39" s="5"/>
      <c r="G39" s="5"/>
      <c r="H39" s="5"/>
      <c r="I39" s="5"/>
      <c r="J39" s="5"/>
    </row>
    <row r="40" spans="2:10" x14ac:dyDescent="0.2">
      <c r="E40" s="7"/>
      <c r="F40" s="24"/>
      <c r="G40" s="24"/>
      <c r="H40" s="24"/>
      <c r="I40" s="24"/>
      <c r="J40" s="24"/>
    </row>
    <row r="41" spans="2:10" x14ac:dyDescent="0.2">
      <c r="E41" s="11"/>
      <c r="F41" s="10"/>
      <c r="G41" s="26" t="s">
        <v>278</v>
      </c>
      <c r="H41" s="10"/>
      <c r="I41" s="10"/>
      <c r="J41" s="10"/>
    </row>
    <row r="42" spans="2:10" x14ac:dyDescent="0.2">
      <c r="E42" s="7"/>
      <c r="F42" s="7"/>
      <c r="G42" s="7"/>
      <c r="H42" s="8" t="s">
        <v>256</v>
      </c>
      <c r="I42" s="8" t="s">
        <v>257</v>
      </c>
      <c r="J42" s="8" t="s">
        <v>279</v>
      </c>
    </row>
    <row r="43" spans="2:10" x14ac:dyDescent="0.2">
      <c r="B43" s="10"/>
      <c r="C43" s="10"/>
      <c r="D43" s="10"/>
      <c r="E43" s="12" t="s">
        <v>258</v>
      </c>
      <c r="F43" s="12" t="s">
        <v>259</v>
      </c>
      <c r="G43" s="12" t="s">
        <v>6</v>
      </c>
      <c r="H43" s="35" t="s">
        <v>11</v>
      </c>
      <c r="I43" s="35" t="s">
        <v>260</v>
      </c>
      <c r="J43" s="35" t="s">
        <v>261</v>
      </c>
    </row>
    <row r="44" spans="2:10" x14ac:dyDescent="0.2">
      <c r="E44" s="7"/>
      <c r="F44" s="13" t="s">
        <v>14</v>
      </c>
      <c r="G44" s="13" t="s">
        <v>280</v>
      </c>
      <c r="H44" s="13" t="s">
        <v>280</v>
      </c>
      <c r="I44" s="13" t="s">
        <v>280</v>
      </c>
      <c r="J44" s="13" t="s">
        <v>280</v>
      </c>
    </row>
    <row r="45" spans="2:10" x14ac:dyDescent="0.2">
      <c r="C45" s="1" t="s">
        <v>281</v>
      </c>
      <c r="E45" s="38">
        <v>4461</v>
      </c>
      <c r="F45" s="80">
        <v>81340</v>
      </c>
      <c r="G45" s="80">
        <v>214930.7</v>
      </c>
      <c r="H45" s="80">
        <v>1923410.8</v>
      </c>
      <c r="I45" s="80">
        <v>2838530.3</v>
      </c>
      <c r="J45" s="80">
        <v>801854</v>
      </c>
    </row>
    <row r="46" spans="2:10" x14ac:dyDescent="0.2">
      <c r="C46" s="1" t="s">
        <v>282</v>
      </c>
      <c r="E46" s="38">
        <v>4446</v>
      </c>
      <c r="F46" s="80">
        <v>80340</v>
      </c>
      <c r="G46" s="80">
        <v>224505.8</v>
      </c>
      <c r="H46" s="80">
        <v>1911782</v>
      </c>
      <c r="I46" s="80">
        <v>2849572.6</v>
      </c>
      <c r="J46" s="80">
        <v>808061</v>
      </c>
    </row>
    <row r="47" spans="2:10" x14ac:dyDescent="0.2">
      <c r="C47" s="1" t="s">
        <v>283</v>
      </c>
      <c r="E47" s="38">
        <v>4337</v>
      </c>
      <c r="F47" s="80">
        <v>79125</v>
      </c>
      <c r="G47" s="80">
        <v>225464.4</v>
      </c>
      <c r="H47" s="80">
        <v>1700727.4</v>
      </c>
      <c r="I47" s="80">
        <v>2400139</v>
      </c>
      <c r="J47" s="80">
        <v>593593.4</v>
      </c>
    </row>
    <row r="48" spans="2:10" x14ac:dyDescent="0.2">
      <c r="C48" s="1" t="s">
        <v>284</v>
      </c>
      <c r="E48" s="38">
        <v>4104</v>
      </c>
      <c r="F48" s="80">
        <v>77195</v>
      </c>
      <c r="G48" s="80">
        <v>221754.3</v>
      </c>
      <c r="H48" s="80">
        <v>1722660.7</v>
      </c>
      <c r="I48" s="80">
        <v>2514611.6</v>
      </c>
      <c r="J48" s="80">
        <v>683052.3</v>
      </c>
    </row>
    <row r="49" spans="3:10" x14ac:dyDescent="0.2">
      <c r="C49" s="1" t="s">
        <v>285</v>
      </c>
      <c r="E49" s="38">
        <v>4164</v>
      </c>
      <c r="F49" s="80">
        <v>77833</v>
      </c>
      <c r="G49" s="80">
        <v>242126.7</v>
      </c>
      <c r="H49" s="80">
        <v>1744848</v>
      </c>
      <c r="I49" s="80">
        <v>2613133.4</v>
      </c>
      <c r="J49" s="80">
        <v>720803</v>
      </c>
    </row>
    <row r="50" spans="3:10" x14ac:dyDescent="0.2">
      <c r="C50" s="1" t="s">
        <v>286</v>
      </c>
      <c r="E50" s="38">
        <v>4186</v>
      </c>
      <c r="F50" s="80">
        <v>77197</v>
      </c>
      <c r="G50" s="80">
        <v>240316.3</v>
      </c>
      <c r="H50" s="80">
        <v>1271096.7</v>
      </c>
      <c r="I50" s="80">
        <v>2126131.2999999998</v>
      </c>
      <c r="J50" s="80">
        <v>650174.30000000005</v>
      </c>
    </row>
    <row r="51" spans="3:10" x14ac:dyDescent="0.2">
      <c r="C51" s="1"/>
      <c r="E51" s="38"/>
      <c r="F51" s="80"/>
      <c r="G51" s="80"/>
      <c r="H51" s="80"/>
      <c r="I51" s="80"/>
      <c r="J51" s="80"/>
    </row>
    <row r="52" spans="3:10" x14ac:dyDescent="0.2">
      <c r="C52" s="1" t="s">
        <v>287</v>
      </c>
      <c r="E52" s="38">
        <v>4040</v>
      </c>
      <c r="F52" s="80">
        <v>75475</v>
      </c>
      <c r="G52" s="80">
        <v>236620</v>
      </c>
      <c r="H52" s="80">
        <v>1208070.3</v>
      </c>
      <c r="I52" s="80">
        <v>2012542.7</v>
      </c>
      <c r="J52" s="80">
        <v>616148.69999999995</v>
      </c>
    </row>
    <row r="53" spans="3:10" x14ac:dyDescent="0.2">
      <c r="C53" s="1" t="s">
        <v>288</v>
      </c>
      <c r="E53" s="38">
        <v>4110</v>
      </c>
      <c r="F53" s="80">
        <v>75098</v>
      </c>
      <c r="G53" s="80">
        <v>244123</v>
      </c>
      <c r="H53" s="80">
        <v>1212246</v>
      </c>
      <c r="I53" s="80">
        <v>2118716.7000000002</v>
      </c>
      <c r="J53" s="80">
        <v>693009</v>
      </c>
    </row>
    <row r="54" spans="3:10" x14ac:dyDescent="0.2">
      <c r="C54" s="1" t="s">
        <v>289</v>
      </c>
      <c r="E54" s="38">
        <v>3960</v>
      </c>
      <c r="F54" s="80">
        <v>73240</v>
      </c>
      <c r="G54" s="80">
        <v>245527.7</v>
      </c>
      <c r="H54" s="80">
        <v>1365002.4</v>
      </c>
      <c r="I54" s="80">
        <v>2280044.2999999998</v>
      </c>
      <c r="J54" s="80">
        <v>696312.3</v>
      </c>
    </row>
    <row r="55" spans="3:10" x14ac:dyDescent="0.2">
      <c r="C55" s="1" t="s">
        <v>290</v>
      </c>
      <c r="E55" s="38">
        <v>4087</v>
      </c>
      <c r="F55" s="80">
        <v>75013</v>
      </c>
      <c r="G55" s="80">
        <v>260529.7</v>
      </c>
      <c r="H55" s="80">
        <v>1515541</v>
      </c>
      <c r="I55" s="80">
        <v>2501355</v>
      </c>
      <c r="J55" s="80">
        <v>739074</v>
      </c>
    </row>
    <row r="56" spans="3:10" x14ac:dyDescent="0.2">
      <c r="C56" s="1" t="s">
        <v>291</v>
      </c>
      <c r="E56" s="38">
        <v>3941</v>
      </c>
      <c r="F56" s="80">
        <v>74688</v>
      </c>
      <c r="G56" s="80">
        <v>269593.3</v>
      </c>
      <c r="H56" s="80">
        <v>1526218.7</v>
      </c>
      <c r="I56" s="80">
        <v>2551933</v>
      </c>
      <c r="J56" s="80">
        <v>775203.7</v>
      </c>
    </row>
    <row r="57" spans="3:10" x14ac:dyDescent="0.2">
      <c r="C57" s="1" t="s">
        <v>292</v>
      </c>
      <c r="E57" s="38">
        <v>3824</v>
      </c>
      <c r="F57" s="80">
        <v>74276</v>
      </c>
      <c r="G57" s="80">
        <v>277827</v>
      </c>
      <c r="H57" s="80">
        <v>1349949.2</v>
      </c>
      <c r="I57" s="80">
        <v>2404812</v>
      </c>
      <c r="J57" s="80">
        <v>764407.3</v>
      </c>
    </row>
    <row r="58" spans="3:10" x14ac:dyDescent="0.2">
      <c r="C58" s="1"/>
      <c r="E58" s="38"/>
      <c r="F58" s="80"/>
      <c r="G58" s="80"/>
      <c r="H58" s="80"/>
      <c r="I58" s="80"/>
      <c r="J58" s="80"/>
    </row>
    <row r="59" spans="3:10" x14ac:dyDescent="0.2">
      <c r="C59" s="1" t="s">
        <v>293</v>
      </c>
      <c r="E59" s="38">
        <v>3772</v>
      </c>
      <c r="F59" s="80">
        <v>73403</v>
      </c>
      <c r="G59" s="80">
        <v>282038</v>
      </c>
      <c r="H59" s="80">
        <v>1220439.3</v>
      </c>
      <c r="I59" s="80">
        <v>2334818.2000000002</v>
      </c>
      <c r="J59" s="80">
        <v>841298.5</v>
      </c>
    </row>
    <row r="60" spans="3:10" x14ac:dyDescent="0.2">
      <c r="C60" s="1" t="s">
        <v>294</v>
      </c>
      <c r="E60" s="38">
        <v>3544</v>
      </c>
      <c r="F60" s="80">
        <v>70337</v>
      </c>
      <c r="G60" s="80">
        <v>284813</v>
      </c>
      <c r="H60" s="80">
        <v>1145990</v>
      </c>
      <c r="I60" s="80">
        <v>2213349</v>
      </c>
      <c r="J60" s="80">
        <v>791703.4</v>
      </c>
    </row>
    <row r="61" spans="3:10" x14ac:dyDescent="0.2">
      <c r="C61" s="1" t="s">
        <v>295</v>
      </c>
      <c r="E61" s="82">
        <v>3507</v>
      </c>
      <c r="F61" s="23">
        <v>68765</v>
      </c>
      <c r="G61" s="23">
        <v>293071.59999999998</v>
      </c>
      <c r="H61" s="23">
        <v>1170790.3</v>
      </c>
      <c r="I61" s="23">
        <v>2256008.2000000002</v>
      </c>
      <c r="J61" s="23">
        <v>832405</v>
      </c>
    </row>
    <row r="62" spans="3:10" x14ac:dyDescent="0.2">
      <c r="C62" s="1" t="s">
        <v>296</v>
      </c>
      <c r="E62" s="82">
        <v>3348</v>
      </c>
      <c r="F62" s="23">
        <v>67136</v>
      </c>
      <c r="G62" s="23">
        <v>282408</v>
      </c>
      <c r="H62" s="23">
        <v>1186651</v>
      </c>
      <c r="I62" s="23">
        <v>2309148</v>
      </c>
      <c r="J62" s="23">
        <v>836383.8</v>
      </c>
    </row>
    <row r="63" spans="3:10" x14ac:dyDescent="0.2">
      <c r="C63" s="1" t="s">
        <v>297</v>
      </c>
      <c r="E63" s="82">
        <v>3202</v>
      </c>
      <c r="F63" s="23">
        <v>65240</v>
      </c>
      <c r="G63" s="23">
        <v>271715</v>
      </c>
      <c r="H63" s="23">
        <v>1221451</v>
      </c>
      <c r="I63" s="23">
        <v>2389522</v>
      </c>
      <c r="J63" s="23">
        <v>861635</v>
      </c>
    </row>
    <row r="64" spans="3:10" x14ac:dyDescent="0.2">
      <c r="C64" s="1" t="s">
        <v>298</v>
      </c>
      <c r="E64" s="82">
        <v>3363</v>
      </c>
      <c r="F64" s="23">
        <v>64825</v>
      </c>
      <c r="G64" s="23">
        <v>268307</v>
      </c>
      <c r="H64" s="23">
        <v>1086457</v>
      </c>
      <c r="I64" s="23">
        <v>2234642</v>
      </c>
      <c r="J64" s="23">
        <v>820682</v>
      </c>
    </row>
    <row r="65" spans="1:10" x14ac:dyDescent="0.2">
      <c r="C65" s="1"/>
      <c r="E65" s="82"/>
      <c r="F65" s="23"/>
      <c r="G65" s="23"/>
      <c r="H65" s="23"/>
      <c r="I65" s="23"/>
      <c r="J65" s="23"/>
    </row>
    <row r="66" spans="1:10" x14ac:dyDescent="0.2">
      <c r="C66" s="1" t="s">
        <v>299</v>
      </c>
      <c r="D66" s="80"/>
      <c r="E66" s="82">
        <v>3128</v>
      </c>
      <c r="F66" s="23">
        <v>61538</v>
      </c>
      <c r="G66" s="23">
        <v>255518</v>
      </c>
      <c r="H66" s="23">
        <v>1062246</v>
      </c>
      <c r="I66" s="23">
        <v>2159182</v>
      </c>
      <c r="J66" s="23">
        <v>780629</v>
      </c>
    </row>
    <row r="67" spans="1:10" x14ac:dyDescent="0.2">
      <c r="C67" s="1" t="s">
        <v>300</v>
      </c>
      <c r="D67" s="80"/>
      <c r="E67" s="82">
        <v>3012</v>
      </c>
      <c r="F67" s="23">
        <v>59634</v>
      </c>
      <c r="G67" s="23">
        <v>253781</v>
      </c>
      <c r="H67" s="23">
        <v>1145535</v>
      </c>
      <c r="I67" s="23">
        <v>2265357</v>
      </c>
      <c r="J67" s="23">
        <v>832762</v>
      </c>
    </row>
    <row r="68" spans="1:10" x14ac:dyDescent="0.2">
      <c r="C68" s="4" t="s">
        <v>301</v>
      </c>
      <c r="D68" s="15"/>
      <c r="E68" s="83">
        <f>E109+E139+E180+E210+E252+E282+E324+E354+E396+E426+E468+E498+E539+E569+E611+E641+E683+E713+E755+E785+E827+E857</f>
        <v>2847</v>
      </c>
      <c r="F68" s="84">
        <f>F109+F139+F180+F210+F252+F282+F324+F354+F396+F426+F468+F498+F539+F569+F611+F641+F683+F713+F755+F785+F827+F857</f>
        <v>57418</v>
      </c>
      <c r="G68" s="84">
        <f>G109+G139+G180+G210+G252+G282+G324+G354+G396+G426+G468+G498+G539+G569+G611+G641+G683+G713+G755+G785+G827+G857+1</f>
        <v>237552</v>
      </c>
      <c r="H68" s="84">
        <f>H109+H139+H180+H210+H252+H282+H324+H354+H396+H426+H468+H498+H539+H569+H611+H641+H683+H713+H755+H785+H827+H857-1</f>
        <v>1070162</v>
      </c>
      <c r="I68" s="84">
        <f>I109+I139+I180+I210+I252+I282+I324+I354+I396+I426+I468+I498+I539+I569+I611+I641+I683+I713+I755+I785+I827+I857-2</f>
        <v>2243396</v>
      </c>
      <c r="J68" s="84">
        <f>J109+J139+J180+J210+J252+J282+J324+J354+J396+J426+J468+J498+J539+J569+J611+J641+J683+J713+J755+J785+J827+J857+3</f>
        <v>858160</v>
      </c>
    </row>
    <row r="69" spans="1:10" ht="18" thickBot="1" x14ac:dyDescent="0.25">
      <c r="B69" s="5"/>
      <c r="C69" s="5"/>
      <c r="D69" s="5"/>
      <c r="E69" s="85"/>
      <c r="F69" s="86"/>
      <c r="G69" s="87"/>
      <c r="H69" s="87"/>
      <c r="I69" s="87"/>
      <c r="J69" s="87"/>
    </row>
    <row r="70" spans="1:10" x14ac:dyDescent="0.2">
      <c r="D70" s="1" t="s">
        <v>273</v>
      </c>
      <c r="E70" s="1"/>
      <c r="H70" s="1" t="s">
        <v>302</v>
      </c>
    </row>
    <row r="71" spans="1:10" x14ac:dyDescent="0.2">
      <c r="H71" s="1"/>
    </row>
    <row r="72" spans="1:10" x14ac:dyDescent="0.2">
      <c r="A72" s="1"/>
    </row>
    <row r="73" spans="1:10" x14ac:dyDescent="0.2">
      <c r="A73" s="1"/>
    </row>
    <row r="78" spans="1:10" x14ac:dyDescent="0.2">
      <c r="F78" s="4" t="s">
        <v>303</v>
      </c>
    </row>
    <row r="79" spans="1:10" x14ac:dyDescent="0.2">
      <c r="F79" s="1" t="s">
        <v>304</v>
      </c>
    </row>
    <row r="80" spans="1:10" ht="18" thickBot="1" x14ac:dyDescent="0.25">
      <c r="B80" s="5"/>
      <c r="C80" s="5"/>
      <c r="D80" s="5"/>
      <c r="E80" s="5"/>
      <c r="F80" s="6" t="s">
        <v>305</v>
      </c>
      <c r="G80" s="5"/>
      <c r="H80" s="5"/>
      <c r="I80" s="5"/>
      <c r="J80" s="5"/>
    </row>
    <row r="81" spans="2:10" x14ac:dyDescent="0.2">
      <c r="E81" s="7"/>
      <c r="F81" s="24"/>
      <c r="G81" s="24"/>
      <c r="H81" s="24"/>
      <c r="I81" s="24"/>
      <c r="J81" s="24"/>
    </row>
    <row r="82" spans="2:10" x14ac:dyDescent="0.2">
      <c r="E82" s="11"/>
      <c r="F82" s="26" t="s">
        <v>306</v>
      </c>
      <c r="G82" s="10"/>
      <c r="H82" s="10"/>
      <c r="I82" s="10"/>
      <c r="J82" s="10"/>
    </row>
    <row r="83" spans="2:10" x14ac:dyDescent="0.2">
      <c r="E83" s="7"/>
      <c r="F83" s="7"/>
      <c r="G83" s="7"/>
      <c r="H83" s="8" t="s">
        <v>256</v>
      </c>
      <c r="I83" s="8" t="s">
        <v>257</v>
      </c>
      <c r="J83" s="8" t="s">
        <v>279</v>
      </c>
    </row>
    <row r="84" spans="2:10" x14ac:dyDescent="0.2">
      <c r="B84" s="10"/>
      <c r="C84" s="10"/>
      <c r="D84" s="10"/>
      <c r="E84" s="12" t="s">
        <v>258</v>
      </c>
      <c r="F84" s="12" t="s">
        <v>259</v>
      </c>
      <c r="G84" s="12" t="s">
        <v>6</v>
      </c>
      <c r="H84" s="35" t="s">
        <v>11</v>
      </c>
      <c r="I84" s="35" t="s">
        <v>260</v>
      </c>
      <c r="J84" s="35" t="s">
        <v>261</v>
      </c>
    </row>
    <row r="85" spans="2:10" x14ac:dyDescent="0.2">
      <c r="E85" s="7"/>
      <c r="F85" s="13" t="s">
        <v>14</v>
      </c>
      <c r="G85" s="13" t="s">
        <v>280</v>
      </c>
      <c r="H85" s="13" t="s">
        <v>280</v>
      </c>
      <c r="I85" s="13" t="s">
        <v>280</v>
      </c>
      <c r="J85" s="13" t="s">
        <v>280</v>
      </c>
    </row>
    <row r="86" spans="2:10" x14ac:dyDescent="0.2">
      <c r="C86" s="1" t="s">
        <v>281</v>
      </c>
      <c r="E86" s="16">
        <v>672</v>
      </c>
      <c r="F86" s="3">
        <v>8425</v>
      </c>
      <c r="G86" s="3">
        <f>14439+0.4</f>
        <v>14439.4</v>
      </c>
      <c r="H86" s="3">
        <f>72703-0.4</f>
        <v>72702.600000000006</v>
      </c>
      <c r="I86" s="3">
        <f>112851-0.4</f>
        <v>112850.6</v>
      </c>
      <c r="J86" s="3">
        <v>36125</v>
      </c>
    </row>
    <row r="87" spans="2:10" x14ac:dyDescent="0.2">
      <c r="C87" s="1" t="s">
        <v>282</v>
      </c>
      <c r="E87" s="16">
        <v>676</v>
      </c>
      <c r="F87" s="3">
        <v>8486</v>
      </c>
      <c r="G87" s="3">
        <f>15027+0.4</f>
        <v>15027.4</v>
      </c>
      <c r="H87" s="3">
        <v>73099</v>
      </c>
      <c r="I87" s="3">
        <f>114941+0.4</f>
        <v>114941.4</v>
      </c>
      <c r="J87" s="3">
        <v>38059</v>
      </c>
    </row>
    <row r="88" spans="2:10" x14ac:dyDescent="0.2">
      <c r="C88" s="1" t="s">
        <v>283</v>
      </c>
      <c r="E88" s="16">
        <v>660</v>
      </c>
      <c r="F88" s="3">
        <v>8468</v>
      </c>
      <c r="G88" s="3">
        <f>15360-0.4</f>
        <v>15359.6</v>
      </c>
      <c r="H88" s="3">
        <f>75981-0.4</f>
        <v>75980.600000000006</v>
      </c>
      <c r="I88" s="3">
        <v>115686</v>
      </c>
      <c r="J88" s="3">
        <f>36341-0.4</f>
        <v>36340.6</v>
      </c>
    </row>
    <row r="89" spans="2:10" x14ac:dyDescent="0.2">
      <c r="C89" s="1" t="s">
        <v>284</v>
      </c>
      <c r="E89" s="16">
        <v>632</v>
      </c>
      <c r="F89" s="3">
        <v>8624</v>
      </c>
      <c r="G89" s="3">
        <f>15868-0.4</f>
        <v>15867.6</v>
      </c>
      <c r="H89" s="3">
        <f>78852+0.4</f>
        <v>78852.399999999994</v>
      </c>
      <c r="I89" s="3">
        <f>120359+0.4</f>
        <v>120359.4</v>
      </c>
      <c r="J89" s="3">
        <f>38449-0.4</f>
        <v>38448.6</v>
      </c>
    </row>
    <row r="90" spans="2:10" x14ac:dyDescent="0.2">
      <c r="C90" s="1" t="s">
        <v>285</v>
      </c>
      <c r="E90" s="16">
        <v>609</v>
      </c>
      <c r="F90" s="3">
        <v>7743</v>
      </c>
      <c r="G90" s="3">
        <f>14098+0.4</f>
        <v>14098.4</v>
      </c>
      <c r="H90" s="3">
        <v>62901</v>
      </c>
      <c r="I90" s="3">
        <f>98186-0.4</f>
        <v>98185.600000000006</v>
      </c>
      <c r="J90" s="3">
        <v>33927</v>
      </c>
    </row>
    <row r="91" spans="2:10" x14ac:dyDescent="0.2">
      <c r="C91" s="1" t="s">
        <v>286</v>
      </c>
      <c r="E91" s="16">
        <v>592</v>
      </c>
      <c r="F91" s="3">
        <v>7836</v>
      </c>
      <c r="G91" s="3">
        <f>14631-0.4</f>
        <v>14630.6</v>
      </c>
      <c r="H91" s="3">
        <f>62020+0.4</f>
        <v>62020.4</v>
      </c>
      <c r="I91" s="3">
        <f>97260-0.4</f>
        <v>97259.6</v>
      </c>
      <c r="J91" s="3">
        <f>33446-0.4</f>
        <v>33445.599999999999</v>
      </c>
    </row>
    <row r="92" spans="2:10" x14ac:dyDescent="0.2">
      <c r="C92" s="1"/>
      <c r="E92" s="16"/>
      <c r="F92" s="3"/>
      <c r="G92" s="3"/>
      <c r="H92" s="3"/>
      <c r="I92" s="3"/>
      <c r="J92" s="3"/>
    </row>
    <row r="93" spans="2:10" x14ac:dyDescent="0.2">
      <c r="C93" s="1" t="s">
        <v>287</v>
      </c>
      <c r="E93" s="16">
        <v>561</v>
      </c>
      <c r="F93" s="3">
        <v>7900</v>
      </c>
      <c r="G93" s="3">
        <v>15190</v>
      </c>
      <c r="H93" s="3">
        <f>63452-0.4</f>
        <v>63451.6</v>
      </c>
      <c r="I93" s="3">
        <f>100577+0.4</f>
        <v>100577.4</v>
      </c>
      <c r="J93" s="3">
        <f>35443+0.4</f>
        <v>35443.4</v>
      </c>
    </row>
    <row r="94" spans="2:10" x14ac:dyDescent="0.2">
      <c r="C94" s="1" t="s">
        <v>288</v>
      </c>
      <c r="E94" s="16">
        <v>582</v>
      </c>
      <c r="F94" s="3">
        <v>7930</v>
      </c>
      <c r="G94" s="3">
        <v>16142</v>
      </c>
      <c r="H94" s="3">
        <v>68214</v>
      </c>
      <c r="I94" s="3">
        <f>106522+0.4</f>
        <v>106522.4</v>
      </c>
      <c r="J94" s="3">
        <v>36655</v>
      </c>
    </row>
    <row r="95" spans="2:10" x14ac:dyDescent="0.2">
      <c r="C95" s="1" t="s">
        <v>289</v>
      </c>
      <c r="E95" s="16">
        <v>542</v>
      </c>
      <c r="F95" s="3">
        <v>7880</v>
      </c>
      <c r="G95" s="3">
        <f>16832+0.4</f>
        <v>16832.400000000001</v>
      </c>
      <c r="H95" s="3">
        <f>72117-0.4</f>
        <v>72116.600000000006</v>
      </c>
      <c r="I95" s="3">
        <f>114073-0.4</f>
        <v>114072.6</v>
      </c>
      <c r="J95" s="3">
        <f>39425-0.4</f>
        <v>39424.6</v>
      </c>
    </row>
    <row r="96" spans="2:10" x14ac:dyDescent="0.2">
      <c r="C96" s="1" t="s">
        <v>290</v>
      </c>
      <c r="E96" s="16">
        <v>580</v>
      </c>
      <c r="F96" s="3">
        <v>8140</v>
      </c>
      <c r="G96" s="3">
        <f>18416+0.4</f>
        <v>18416.400000000001</v>
      </c>
      <c r="H96" s="3">
        <v>79060</v>
      </c>
      <c r="I96" s="3">
        <f>123617-0.4</f>
        <v>123616.6</v>
      </c>
      <c r="J96" s="3">
        <v>41469</v>
      </c>
    </row>
    <row r="97" spans="2:10" x14ac:dyDescent="0.2">
      <c r="C97" s="1" t="s">
        <v>291</v>
      </c>
      <c r="E97" s="16">
        <v>549</v>
      </c>
      <c r="F97" s="3">
        <v>8093</v>
      </c>
      <c r="G97" s="3">
        <f>18691-0.4</f>
        <v>18690.599999999999</v>
      </c>
      <c r="H97" s="3">
        <f>84717+0.4</f>
        <v>84717.4</v>
      </c>
      <c r="I97" s="3">
        <f>134138+0.4</f>
        <v>134138.4</v>
      </c>
      <c r="J97" s="3">
        <f>46044+0.4</f>
        <v>46044.4</v>
      </c>
    </row>
    <row r="98" spans="2:10" x14ac:dyDescent="0.2">
      <c r="C98" s="1" t="s">
        <v>292</v>
      </c>
      <c r="E98" s="16">
        <v>546</v>
      </c>
      <c r="F98" s="3">
        <v>8169</v>
      </c>
      <c r="G98" s="3">
        <v>19629</v>
      </c>
      <c r="H98" s="3">
        <f>86590-0.4</f>
        <v>86589.6</v>
      </c>
      <c r="I98" s="3">
        <f>137518-0.4</f>
        <v>137517.6</v>
      </c>
      <c r="J98" s="3">
        <f>48680-0.4</f>
        <v>48679.6</v>
      </c>
    </row>
    <row r="99" spans="2:10" x14ac:dyDescent="0.2">
      <c r="C99" s="1"/>
      <c r="E99" s="16"/>
      <c r="F99" s="3"/>
      <c r="G99" s="3"/>
      <c r="H99" s="3"/>
      <c r="I99" s="3"/>
      <c r="J99" s="3"/>
    </row>
    <row r="100" spans="2:10" x14ac:dyDescent="0.2">
      <c r="C100" s="1" t="s">
        <v>293</v>
      </c>
      <c r="E100" s="16">
        <v>554</v>
      </c>
      <c r="F100" s="3">
        <v>8688</v>
      </c>
      <c r="G100" s="3">
        <f>20897+0.4</f>
        <v>20897.400000000001</v>
      </c>
      <c r="H100" s="3">
        <f>87274-0.4</f>
        <v>87273.600000000006</v>
      </c>
      <c r="I100" s="3">
        <f>143205-0.4</f>
        <v>143204.6</v>
      </c>
      <c r="J100" s="3">
        <f>51764+0.4</f>
        <v>51764.4</v>
      </c>
    </row>
    <row r="101" spans="2:10" x14ac:dyDescent="0.2">
      <c r="C101" s="1" t="s">
        <v>294</v>
      </c>
      <c r="E101" s="16">
        <v>526</v>
      </c>
      <c r="F101" s="3">
        <v>8725</v>
      </c>
      <c r="G101" s="3">
        <f>26869+0.4</f>
        <v>26869.4</v>
      </c>
      <c r="H101" s="3">
        <v>84332</v>
      </c>
      <c r="I101" s="3">
        <f>138704+0.2</f>
        <v>138704.20000000001</v>
      </c>
      <c r="J101" s="3">
        <f>50383-0.4</f>
        <v>50382.6</v>
      </c>
    </row>
    <row r="102" spans="2:10" x14ac:dyDescent="0.2">
      <c r="C102" s="1" t="s">
        <v>295</v>
      </c>
      <c r="E102" s="16">
        <v>535</v>
      </c>
      <c r="F102" s="3">
        <v>8687</v>
      </c>
      <c r="G102" s="3">
        <v>23079.4</v>
      </c>
      <c r="H102" s="3">
        <v>83904.5</v>
      </c>
      <c r="I102" s="3">
        <f>145688-0.4</f>
        <v>145687.6</v>
      </c>
      <c r="J102" s="3">
        <v>57438</v>
      </c>
    </row>
    <row r="103" spans="2:10" x14ac:dyDescent="0.2">
      <c r="C103" s="1" t="s">
        <v>296</v>
      </c>
      <c r="E103" s="16">
        <v>508</v>
      </c>
      <c r="F103" s="3">
        <v>8522</v>
      </c>
      <c r="G103" s="3">
        <v>22630</v>
      </c>
      <c r="H103" s="3">
        <v>87580</v>
      </c>
      <c r="I103" s="3">
        <v>149071.5</v>
      </c>
      <c r="J103" s="3">
        <v>57133.4</v>
      </c>
    </row>
    <row r="104" spans="2:10" x14ac:dyDescent="0.2">
      <c r="C104" s="1" t="s">
        <v>297</v>
      </c>
      <c r="E104" s="16">
        <v>499</v>
      </c>
      <c r="F104" s="3">
        <v>8568</v>
      </c>
      <c r="G104" s="3">
        <v>22397</v>
      </c>
      <c r="H104" s="3">
        <v>89602</v>
      </c>
      <c r="I104" s="3">
        <v>149363</v>
      </c>
      <c r="J104" s="3">
        <v>55494</v>
      </c>
    </row>
    <row r="105" spans="2:10" x14ac:dyDescent="0.2">
      <c r="C105" s="1" t="s">
        <v>298</v>
      </c>
      <c r="E105" s="16">
        <v>551</v>
      </c>
      <c r="F105" s="3">
        <v>9173</v>
      </c>
      <c r="G105" s="3">
        <v>24060</v>
      </c>
      <c r="H105" s="3">
        <v>91615</v>
      </c>
      <c r="I105" s="3">
        <v>152907</v>
      </c>
      <c r="J105" s="3">
        <v>55324</v>
      </c>
    </row>
    <row r="106" spans="2:10" x14ac:dyDescent="0.2">
      <c r="C106" s="1"/>
      <c r="E106" s="16"/>
      <c r="F106" s="3"/>
      <c r="G106" s="3"/>
      <c r="H106" s="3"/>
      <c r="I106" s="3"/>
      <c r="J106" s="3"/>
    </row>
    <row r="107" spans="2:10" x14ac:dyDescent="0.2">
      <c r="C107" s="1" t="s">
        <v>307</v>
      </c>
      <c r="D107" s="15"/>
      <c r="E107" s="16">
        <v>539</v>
      </c>
      <c r="F107" s="3">
        <v>9179</v>
      </c>
      <c r="G107" s="3">
        <v>23789</v>
      </c>
      <c r="H107" s="3">
        <v>95966</v>
      </c>
      <c r="I107" s="3">
        <v>160250</v>
      </c>
      <c r="J107" s="3">
        <v>57559</v>
      </c>
    </row>
    <row r="108" spans="2:10" x14ac:dyDescent="0.2">
      <c r="C108" s="1" t="s">
        <v>308</v>
      </c>
      <c r="D108" s="80"/>
      <c r="E108" s="16">
        <v>538</v>
      </c>
      <c r="F108" s="3">
        <v>9237</v>
      </c>
      <c r="G108" s="3">
        <v>24245</v>
      </c>
      <c r="H108" s="3">
        <v>91907</v>
      </c>
      <c r="I108" s="3">
        <v>159311</v>
      </c>
      <c r="J108" s="3">
        <v>62036</v>
      </c>
    </row>
    <row r="109" spans="2:10" x14ac:dyDescent="0.2">
      <c r="C109" s="4" t="s">
        <v>309</v>
      </c>
      <c r="D109" s="80"/>
      <c r="E109" s="88">
        <v>529</v>
      </c>
      <c r="F109" s="39">
        <v>9516</v>
      </c>
      <c r="G109" s="39">
        <v>23862</v>
      </c>
      <c r="H109" s="39">
        <v>84237</v>
      </c>
      <c r="I109" s="39">
        <v>150335</v>
      </c>
      <c r="J109" s="39">
        <v>59181</v>
      </c>
    </row>
    <row r="110" spans="2:10" ht="18" thickBot="1" x14ac:dyDescent="0.25">
      <c r="B110" s="5"/>
      <c r="C110" s="5"/>
      <c r="D110" s="5"/>
      <c r="E110" s="41"/>
      <c r="F110" s="5"/>
      <c r="G110" s="5"/>
      <c r="H110" s="5"/>
      <c r="I110" s="5"/>
      <c r="J110" s="5"/>
    </row>
    <row r="111" spans="2:10" x14ac:dyDescent="0.2">
      <c r="E111" s="7"/>
      <c r="F111" s="24"/>
      <c r="G111" s="24"/>
      <c r="H111" s="24"/>
      <c r="I111" s="24"/>
      <c r="J111" s="24"/>
    </row>
    <row r="112" spans="2:10" x14ac:dyDescent="0.2">
      <c r="E112" s="11"/>
      <c r="F112" s="26" t="s">
        <v>310</v>
      </c>
      <c r="G112" s="10"/>
      <c r="H112" s="10"/>
      <c r="I112" s="10"/>
      <c r="J112" s="10"/>
    </row>
    <row r="113" spans="2:10" x14ac:dyDescent="0.2">
      <c r="E113" s="7"/>
      <c r="F113" s="7"/>
      <c r="G113" s="7"/>
      <c r="H113" s="8" t="s">
        <v>256</v>
      </c>
      <c r="I113" s="8" t="s">
        <v>257</v>
      </c>
      <c r="J113" s="8" t="s">
        <v>279</v>
      </c>
    </row>
    <row r="114" spans="2:10" x14ac:dyDescent="0.2">
      <c r="B114" s="10"/>
      <c r="C114" s="10"/>
      <c r="D114" s="10"/>
      <c r="E114" s="12" t="s">
        <v>258</v>
      </c>
      <c r="F114" s="12" t="s">
        <v>259</v>
      </c>
      <c r="G114" s="12" t="s">
        <v>6</v>
      </c>
      <c r="H114" s="35" t="s">
        <v>11</v>
      </c>
      <c r="I114" s="35" t="s">
        <v>260</v>
      </c>
      <c r="J114" s="35" t="s">
        <v>261</v>
      </c>
    </row>
    <row r="115" spans="2:10" x14ac:dyDescent="0.2">
      <c r="E115" s="7"/>
      <c r="F115" s="13" t="s">
        <v>14</v>
      </c>
      <c r="G115" s="13" t="s">
        <v>280</v>
      </c>
      <c r="H115" s="13" t="s">
        <v>280</v>
      </c>
      <c r="I115" s="13" t="s">
        <v>280</v>
      </c>
      <c r="J115" s="13" t="s">
        <v>280</v>
      </c>
    </row>
    <row r="116" spans="2:10" x14ac:dyDescent="0.2">
      <c r="C116" s="1" t="s">
        <v>281</v>
      </c>
      <c r="E116" s="18" t="s">
        <v>38</v>
      </c>
      <c r="F116" s="17" t="s">
        <v>311</v>
      </c>
      <c r="G116" s="17" t="s">
        <v>311</v>
      </c>
      <c r="H116" s="17" t="s">
        <v>311</v>
      </c>
      <c r="I116" s="17" t="s">
        <v>311</v>
      </c>
      <c r="J116" s="17" t="s">
        <v>311</v>
      </c>
    </row>
    <row r="117" spans="2:10" x14ac:dyDescent="0.2">
      <c r="C117" s="1" t="s">
        <v>282</v>
      </c>
      <c r="E117" s="18" t="s">
        <v>38</v>
      </c>
      <c r="F117" s="17" t="s">
        <v>311</v>
      </c>
      <c r="G117" s="17" t="s">
        <v>311</v>
      </c>
      <c r="H117" s="17" t="s">
        <v>311</v>
      </c>
      <c r="I117" s="17" t="s">
        <v>311</v>
      </c>
      <c r="J117" s="17" t="s">
        <v>311</v>
      </c>
    </row>
    <row r="118" spans="2:10" x14ac:dyDescent="0.2">
      <c r="C118" s="1" t="s">
        <v>283</v>
      </c>
      <c r="E118" s="18" t="s">
        <v>38</v>
      </c>
      <c r="F118" s="17" t="s">
        <v>311</v>
      </c>
      <c r="G118" s="17" t="s">
        <v>311</v>
      </c>
      <c r="H118" s="17" t="s">
        <v>311</v>
      </c>
      <c r="I118" s="17" t="s">
        <v>311</v>
      </c>
      <c r="J118" s="17" t="s">
        <v>311</v>
      </c>
    </row>
    <row r="119" spans="2:10" x14ac:dyDescent="0.2">
      <c r="C119" s="1" t="s">
        <v>284</v>
      </c>
      <c r="E119" s="18" t="s">
        <v>38</v>
      </c>
      <c r="F119" s="17" t="s">
        <v>311</v>
      </c>
      <c r="G119" s="17" t="s">
        <v>311</v>
      </c>
      <c r="H119" s="17" t="s">
        <v>311</v>
      </c>
      <c r="I119" s="17" t="s">
        <v>311</v>
      </c>
      <c r="J119" s="17" t="s">
        <v>311</v>
      </c>
    </row>
    <row r="120" spans="2:10" x14ac:dyDescent="0.2">
      <c r="C120" s="1" t="s">
        <v>285</v>
      </c>
      <c r="E120" s="16">
        <v>60</v>
      </c>
      <c r="F120" s="3">
        <v>1551</v>
      </c>
      <c r="G120" s="3">
        <f>4724+0.3</f>
        <v>4724.3</v>
      </c>
      <c r="H120" s="3">
        <v>28440</v>
      </c>
      <c r="I120" s="3">
        <f>75550-0.4</f>
        <v>75549.600000000006</v>
      </c>
      <c r="J120" s="3">
        <v>20637</v>
      </c>
    </row>
    <row r="121" spans="2:10" x14ac:dyDescent="0.2">
      <c r="C121" s="1" t="s">
        <v>286</v>
      </c>
      <c r="E121" s="16">
        <v>57</v>
      </c>
      <c r="F121" s="3">
        <v>1517</v>
      </c>
      <c r="G121" s="3">
        <f>5318-0.3</f>
        <v>5317.7</v>
      </c>
      <c r="H121" s="3">
        <f>41226+0.3</f>
        <v>41226.300000000003</v>
      </c>
      <c r="I121" s="3">
        <f>81858-0.3</f>
        <v>81857.7</v>
      </c>
      <c r="J121" s="3">
        <f>12463-0.3</f>
        <v>12462.7</v>
      </c>
    </row>
    <row r="122" spans="2:10" x14ac:dyDescent="0.2">
      <c r="C122" s="1"/>
      <c r="E122" s="16"/>
      <c r="F122" s="3"/>
      <c r="G122" s="3"/>
      <c r="H122" s="3"/>
      <c r="I122" s="3"/>
      <c r="J122" s="3"/>
    </row>
    <row r="123" spans="2:10" x14ac:dyDescent="0.2">
      <c r="C123" s="1" t="s">
        <v>287</v>
      </c>
      <c r="E123" s="16">
        <v>59</v>
      </c>
      <c r="F123" s="3">
        <v>1587</v>
      </c>
      <c r="G123" s="3">
        <v>5479</v>
      </c>
      <c r="H123" s="3">
        <f>36702-0.3</f>
        <v>36701.699999999997</v>
      </c>
      <c r="I123" s="3">
        <f>78313+0.3</f>
        <v>78313.3</v>
      </c>
      <c r="J123" s="3">
        <f>14073+0.3</f>
        <v>14073.3</v>
      </c>
    </row>
    <row r="124" spans="2:10" x14ac:dyDescent="0.2">
      <c r="C124" s="1" t="s">
        <v>288</v>
      </c>
      <c r="E124" s="16">
        <v>62</v>
      </c>
      <c r="F124" s="3">
        <v>1545</v>
      </c>
      <c r="G124" s="3">
        <v>5820</v>
      </c>
      <c r="H124" s="3">
        <v>39862</v>
      </c>
      <c r="I124" s="3">
        <f>74127+0.3</f>
        <v>74127.3</v>
      </c>
      <c r="J124" s="3">
        <v>10202</v>
      </c>
    </row>
    <row r="125" spans="2:10" x14ac:dyDescent="0.2">
      <c r="C125" s="1" t="s">
        <v>289</v>
      </c>
      <c r="E125" s="16">
        <v>59</v>
      </c>
      <c r="F125" s="3">
        <v>1464</v>
      </c>
      <c r="G125" s="3">
        <f>5441+0.3</f>
        <v>5441.3</v>
      </c>
      <c r="H125" s="3">
        <f>33490-0.4</f>
        <v>33489.599999999999</v>
      </c>
      <c r="I125" s="3">
        <f>77282-0.3</f>
        <v>77281.7</v>
      </c>
      <c r="J125" s="3">
        <f>16438-0.3</f>
        <v>16437.7</v>
      </c>
    </row>
    <row r="126" spans="2:10" x14ac:dyDescent="0.2">
      <c r="C126" s="1" t="s">
        <v>290</v>
      </c>
      <c r="E126" s="16">
        <v>58</v>
      </c>
      <c r="F126" s="3">
        <v>1404</v>
      </c>
      <c r="G126" s="3">
        <f>6082+0.3</f>
        <v>6082.3</v>
      </c>
      <c r="H126" s="3">
        <v>38231</v>
      </c>
      <c r="I126" s="3">
        <f>113457-0.4</f>
        <v>113456.6</v>
      </c>
      <c r="J126" s="3">
        <v>19571</v>
      </c>
    </row>
    <row r="127" spans="2:10" x14ac:dyDescent="0.2">
      <c r="C127" s="1" t="s">
        <v>291</v>
      </c>
      <c r="E127" s="16">
        <v>52</v>
      </c>
      <c r="F127" s="3">
        <v>1275</v>
      </c>
      <c r="G127" s="3">
        <f>5176-0.3</f>
        <v>5175.7</v>
      </c>
      <c r="H127" s="3">
        <f>41799+0.3</f>
        <v>41799.300000000003</v>
      </c>
      <c r="I127" s="3">
        <f>110453+0.2</f>
        <v>110453.2</v>
      </c>
      <c r="J127" s="3">
        <f>17084+0.3</f>
        <v>17084.3</v>
      </c>
    </row>
    <row r="128" spans="2:10" x14ac:dyDescent="0.2">
      <c r="C128" s="1" t="s">
        <v>292</v>
      </c>
      <c r="E128" s="16">
        <v>53</v>
      </c>
      <c r="F128" s="3">
        <v>1329</v>
      </c>
      <c r="G128" s="3">
        <v>5647</v>
      </c>
      <c r="H128" s="3">
        <f>43799-0.4</f>
        <v>43798.6</v>
      </c>
      <c r="I128" s="3">
        <f>146037-0.4</f>
        <v>146036.6</v>
      </c>
      <c r="J128" s="3">
        <f>23034-0.3</f>
        <v>23033.7</v>
      </c>
    </row>
    <row r="129" spans="1:10" x14ac:dyDescent="0.2">
      <c r="C129" s="1"/>
      <c r="E129" s="16"/>
      <c r="F129" s="3"/>
      <c r="G129" s="3"/>
      <c r="H129" s="3"/>
      <c r="I129" s="3"/>
      <c r="J129" s="3"/>
    </row>
    <row r="130" spans="1:10" x14ac:dyDescent="0.2">
      <c r="C130" s="1" t="s">
        <v>293</v>
      </c>
      <c r="E130" s="16">
        <v>47</v>
      </c>
      <c r="F130" s="3">
        <v>1362</v>
      </c>
      <c r="G130" s="3">
        <f>6020+0.4</f>
        <v>6020.4</v>
      </c>
      <c r="H130" s="3">
        <f>43776-0.1</f>
        <v>43775.9</v>
      </c>
      <c r="I130" s="3">
        <v>143774</v>
      </c>
      <c r="J130" s="3">
        <f>20061+0.1</f>
        <v>20061.099999999999</v>
      </c>
    </row>
    <row r="131" spans="1:10" x14ac:dyDescent="0.2">
      <c r="C131" s="1" t="s">
        <v>294</v>
      </c>
      <c r="E131" s="16">
        <v>41</v>
      </c>
      <c r="F131" s="3">
        <v>1311</v>
      </c>
      <c r="G131" s="3">
        <f>6017+0.4</f>
        <v>6017.4</v>
      </c>
      <c r="H131" s="3">
        <v>49752</v>
      </c>
      <c r="I131" s="3">
        <f>146495+0.4</f>
        <v>146495.4</v>
      </c>
      <c r="J131" s="3">
        <f>20616-0.2</f>
        <v>20615.8</v>
      </c>
    </row>
    <row r="132" spans="1:10" x14ac:dyDescent="0.2">
      <c r="C132" s="1" t="s">
        <v>295</v>
      </c>
      <c r="E132" s="16">
        <v>46</v>
      </c>
      <c r="F132" s="3">
        <v>1314</v>
      </c>
      <c r="G132" s="3">
        <v>6441.2</v>
      </c>
      <c r="H132" s="3">
        <v>50122.8</v>
      </c>
      <c r="I132" s="3">
        <f>141794-0.4</f>
        <v>141793.60000000001</v>
      </c>
      <c r="J132" s="3">
        <v>29172</v>
      </c>
    </row>
    <row r="133" spans="1:10" x14ac:dyDescent="0.2">
      <c r="C133" s="1" t="s">
        <v>296</v>
      </c>
      <c r="E133" s="16">
        <v>43</v>
      </c>
      <c r="F133" s="3">
        <v>1348</v>
      </c>
      <c r="G133" s="3">
        <v>6493</v>
      </c>
      <c r="H133" s="3">
        <v>51449</v>
      </c>
      <c r="I133" s="3">
        <v>147351.5</v>
      </c>
      <c r="J133" s="3">
        <v>31829.4</v>
      </c>
    </row>
    <row r="134" spans="1:10" x14ac:dyDescent="0.2">
      <c r="C134" s="1" t="s">
        <v>297</v>
      </c>
      <c r="E134" s="16">
        <v>42</v>
      </c>
      <c r="F134" s="3">
        <v>1341</v>
      </c>
      <c r="G134" s="3">
        <v>6278</v>
      </c>
      <c r="H134" s="3">
        <v>51342</v>
      </c>
      <c r="I134" s="3">
        <v>149680</v>
      </c>
      <c r="J134" s="3">
        <v>32381</v>
      </c>
    </row>
    <row r="135" spans="1:10" x14ac:dyDescent="0.2">
      <c r="C135" s="1" t="s">
        <v>298</v>
      </c>
      <c r="E135" s="16">
        <v>46</v>
      </c>
      <c r="F135" s="3">
        <v>1395</v>
      </c>
      <c r="G135" s="3">
        <v>6918</v>
      </c>
      <c r="H135" s="3">
        <v>54936</v>
      </c>
      <c r="I135" s="3">
        <v>157184</v>
      </c>
      <c r="J135" s="3">
        <v>34186</v>
      </c>
    </row>
    <row r="136" spans="1:10" x14ac:dyDescent="0.2">
      <c r="C136" s="1"/>
      <c r="E136" s="16"/>
      <c r="F136" s="3"/>
      <c r="G136" s="3"/>
      <c r="H136" s="3"/>
      <c r="I136" s="3"/>
      <c r="J136" s="3"/>
    </row>
    <row r="137" spans="1:10" x14ac:dyDescent="0.2">
      <c r="C137" s="1" t="s">
        <v>312</v>
      </c>
      <c r="D137" s="15"/>
      <c r="E137" s="16">
        <v>43</v>
      </c>
      <c r="F137" s="3">
        <v>1358</v>
      </c>
      <c r="G137" s="3">
        <v>6443</v>
      </c>
      <c r="H137" s="3">
        <v>49008</v>
      </c>
      <c r="I137" s="3">
        <v>159029</v>
      </c>
      <c r="J137" s="3">
        <v>43964</v>
      </c>
    </row>
    <row r="138" spans="1:10" x14ac:dyDescent="0.2">
      <c r="C138" s="1" t="s">
        <v>313</v>
      </c>
      <c r="D138" s="80"/>
      <c r="E138" s="16">
        <v>45</v>
      </c>
      <c r="F138" s="3">
        <v>1325</v>
      </c>
      <c r="G138" s="3">
        <v>6237</v>
      </c>
      <c r="H138" s="3">
        <v>49398</v>
      </c>
      <c r="I138" s="3">
        <v>146963</v>
      </c>
      <c r="J138" s="3">
        <v>37870</v>
      </c>
    </row>
    <row r="139" spans="1:10" x14ac:dyDescent="0.2">
      <c r="C139" s="4" t="s">
        <v>314</v>
      </c>
      <c r="D139" s="80"/>
      <c r="E139" s="88">
        <v>47</v>
      </c>
      <c r="F139" s="39">
        <v>1396</v>
      </c>
      <c r="G139" s="39">
        <v>7727</v>
      </c>
      <c r="H139" s="39">
        <v>47082</v>
      </c>
      <c r="I139" s="39">
        <v>160599</v>
      </c>
      <c r="J139" s="39">
        <v>35746</v>
      </c>
    </row>
    <row r="140" spans="1:10" ht="18" thickBot="1" x14ac:dyDescent="0.25">
      <c r="B140" s="5"/>
      <c r="C140" s="5"/>
      <c r="D140" s="5"/>
      <c r="E140" s="41"/>
      <c r="F140" s="5"/>
      <c r="G140" s="5"/>
      <c r="H140" s="5"/>
      <c r="I140" s="5"/>
      <c r="J140" s="5"/>
    </row>
    <row r="141" spans="1:10" x14ac:dyDescent="0.2">
      <c r="D141" s="1" t="s">
        <v>273</v>
      </c>
      <c r="E141" s="1"/>
      <c r="H141" s="1" t="s">
        <v>315</v>
      </c>
    </row>
    <row r="142" spans="1:10" x14ac:dyDescent="0.2">
      <c r="H142" s="1"/>
    </row>
    <row r="143" spans="1:10" x14ac:dyDescent="0.2">
      <c r="A143" s="1"/>
    </row>
    <row r="144" spans="1:10" x14ac:dyDescent="0.2">
      <c r="A144" s="1"/>
    </row>
    <row r="149" spans="2:10" x14ac:dyDescent="0.2">
      <c r="C149" s="15"/>
      <c r="D149" s="15"/>
      <c r="E149" s="15"/>
      <c r="F149" s="4" t="s">
        <v>303</v>
      </c>
    </row>
    <row r="150" spans="2:10" x14ac:dyDescent="0.2">
      <c r="F150" s="1" t="s">
        <v>304</v>
      </c>
    </row>
    <row r="151" spans="2:10" ht="18" thickBot="1" x14ac:dyDescent="0.25">
      <c r="B151" s="5"/>
      <c r="C151" s="5"/>
      <c r="D151" s="5"/>
      <c r="E151" s="5"/>
      <c r="F151" s="6" t="s">
        <v>316</v>
      </c>
      <c r="G151" s="5"/>
      <c r="H151" s="5"/>
      <c r="I151" s="5"/>
      <c r="J151" s="5"/>
    </row>
    <row r="152" spans="2:10" x14ac:dyDescent="0.2">
      <c r="E152" s="7"/>
      <c r="F152" s="24"/>
      <c r="G152" s="24"/>
      <c r="H152" s="24"/>
      <c r="I152" s="24"/>
      <c r="J152" s="24"/>
    </row>
    <row r="153" spans="2:10" x14ac:dyDescent="0.2">
      <c r="E153" s="11"/>
      <c r="F153" s="10"/>
      <c r="G153" s="26" t="s">
        <v>317</v>
      </c>
      <c r="H153" s="10"/>
      <c r="I153" s="10"/>
      <c r="J153" s="10"/>
    </row>
    <row r="154" spans="2:10" x14ac:dyDescent="0.2">
      <c r="E154" s="7"/>
      <c r="F154" s="7"/>
      <c r="G154" s="7"/>
      <c r="H154" s="8" t="s">
        <v>256</v>
      </c>
      <c r="I154" s="8" t="s">
        <v>257</v>
      </c>
      <c r="J154" s="8" t="s">
        <v>279</v>
      </c>
    </row>
    <row r="155" spans="2:10" x14ac:dyDescent="0.2">
      <c r="B155" s="10"/>
      <c r="C155" s="10"/>
      <c r="D155" s="10"/>
      <c r="E155" s="12" t="s">
        <v>258</v>
      </c>
      <c r="F155" s="12" t="s">
        <v>259</v>
      </c>
      <c r="G155" s="12" t="s">
        <v>6</v>
      </c>
      <c r="H155" s="35" t="s">
        <v>11</v>
      </c>
      <c r="I155" s="35" t="s">
        <v>260</v>
      </c>
      <c r="J155" s="35" t="s">
        <v>261</v>
      </c>
    </row>
    <row r="156" spans="2:10" x14ac:dyDescent="0.2">
      <c r="E156" s="7"/>
      <c r="F156" s="13" t="s">
        <v>14</v>
      </c>
      <c r="G156" s="13" t="s">
        <v>280</v>
      </c>
      <c r="H156" s="13" t="s">
        <v>280</v>
      </c>
      <c r="I156" s="13" t="s">
        <v>280</v>
      </c>
      <c r="J156" s="13" t="s">
        <v>280</v>
      </c>
    </row>
    <row r="157" spans="2:10" x14ac:dyDescent="0.2">
      <c r="C157" s="1" t="s">
        <v>281</v>
      </c>
      <c r="E157" s="16">
        <v>816</v>
      </c>
      <c r="F157" s="3">
        <v>13053</v>
      </c>
      <c r="G157" s="3">
        <f>29303+0.3</f>
        <v>29303.3</v>
      </c>
      <c r="H157" s="3">
        <f>153002-0.4</f>
        <v>153001.60000000001</v>
      </c>
      <c r="I157" s="3">
        <f>229970-0.3</f>
        <v>229969.7</v>
      </c>
      <c r="J157" s="3">
        <v>72861</v>
      </c>
    </row>
    <row r="158" spans="2:10" x14ac:dyDescent="0.2">
      <c r="C158" s="1" t="s">
        <v>282</v>
      </c>
      <c r="E158" s="16">
        <v>789</v>
      </c>
      <c r="F158" s="3">
        <v>12732</v>
      </c>
      <c r="G158" s="3">
        <f>30235+0.3</f>
        <v>30235.3</v>
      </c>
      <c r="H158" s="3">
        <v>159441</v>
      </c>
      <c r="I158" s="3">
        <f>235514+0.4</f>
        <v>235514.4</v>
      </c>
      <c r="J158" s="3">
        <v>73162</v>
      </c>
    </row>
    <row r="159" spans="2:10" x14ac:dyDescent="0.2">
      <c r="C159" s="1" t="s">
        <v>283</v>
      </c>
      <c r="E159" s="16">
        <v>752</v>
      </c>
      <c r="F159" s="3">
        <v>12404</v>
      </c>
      <c r="G159" s="3">
        <f>29922-0.4</f>
        <v>29921.599999999999</v>
      </c>
      <c r="H159" s="3">
        <f>150979-0.4</f>
        <v>150978.6</v>
      </c>
      <c r="I159" s="3">
        <v>221870</v>
      </c>
      <c r="J159" s="3">
        <f>67052-0.4</f>
        <v>67051.600000000006</v>
      </c>
    </row>
    <row r="160" spans="2:10" x14ac:dyDescent="0.2">
      <c r="C160" s="1" t="s">
        <v>284</v>
      </c>
      <c r="E160" s="16">
        <v>711</v>
      </c>
      <c r="F160" s="3">
        <v>12045</v>
      </c>
      <c r="G160" s="3">
        <f>29470-0.3</f>
        <v>29469.7</v>
      </c>
      <c r="H160" s="3">
        <f>150288+0.3</f>
        <v>150288.29999999999</v>
      </c>
      <c r="I160" s="3">
        <f>226909+0.4</f>
        <v>226909.4</v>
      </c>
      <c r="J160" s="3">
        <v>73516</v>
      </c>
    </row>
    <row r="161" spans="3:10" x14ac:dyDescent="0.2">
      <c r="C161" s="1" t="s">
        <v>285</v>
      </c>
      <c r="E161" s="16">
        <v>751</v>
      </c>
      <c r="F161" s="3">
        <v>12537</v>
      </c>
      <c r="G161" s="3">
        <v>31804</v>
      </c>
      <c r="H161" s="3">
        <v>153036</v>
      </c>
      <c r="I161" s="3">
        <f>232903-0.4</f>
        <v>232902.6</v>
      </c>
      <c r="J161" s="3">
        <v>76595</v>
      </c>
    </row>
    <row r="162" spans="3:10" x14ac:dyDescent="0.2">
      <c r="C162" s="1" t="s">
        <v>286</v>
      </c>
      <c r="E162" s="16">
        <v>785</v>
      </c>
      <c r="F162" s="3">
        <v>12671</v>
      </c>
      <c r="G162" s="3">
        <v>31763</v>
      </c>
      <c r="H162" s="3">
        <v>144652</v>
      </c>
      <c r="I162" s="3">
        <v>224242</v>
      </c>
      <c r="J162" s="3">
        <v>75083</v>
      </c>
    </row>
    <row r="163" spans="3:10" x14ac:dyDescent="0.2">
      <c r="C163" s="1"/>
      <c r="E163" s="16"/>
      <c r="F163" s="3"/>
      <c r="G163" s="3"/>
      <c r="H163" s="3"/>
      <c r="I163" s="3"/>
      <c r="J163" s="3"/>
    </row>
    <row r="164" spans="3:10" x14ac:dyDescent="0.2">
      <c r="C164" s="1" t="s">
        <v>287</v>
      </c>
      <c r="E164" s="16">
        <v>765</v>
      </c>
      <c r="F164" s="3">
        <v>12624</v>
      </c>
      <c r="G164" s="3">
        <v>32964</v>
      </c>
      <c r="H164" s="3">
        <v>148685</v>
      </c>
      <c r="I164" s="3">
        <v>230497</v>
      </c>
      <c r="J164" s="3">
        <v>77586</v>
      </c>
    </row>
    <row r="165" spans="3:10" x14ac:dyDescent="0.2">
      <c r="C165" s="1" t="s">
        <v>288</v>
      </c>
      <c r="E165" s="16">
        <v>737</v>
      </c>
      <c r="F165" s="3">
        <v>12321</v>
      </c>
      <c r="G165" s="3">
        <v>33460</v>
      </c>
      <c r="H165" s="3">
        <v>143354</v>
      </c>
      <c r="I165" s="3">
        <v>223121</v>
      </c>
      <c r="J165" s="3">
        <v>75574</v>
      </c>
    </row>
    <row r="166" spans="3:10" x14ac:dyDescent="0.2">
      <c r="C166" s="1" t="s">
        <v>289</v>
      </c>
      <c r="E166" s="16">
        <v>732</v>
      </c>
      <c r="F166" s="3">
        <v>11885</v>
      </c>
      <c r="G166" s="3">
        <v>32999</v>
      </c>
      <c r="H166" s="3">
        <f>142505-0.4</f>
        <v>142504.6</v>
      </c>
      <c r="I166" s="3">
        <v>224847</v>
      </c>
      <c r="J166" s="3">
        <v>77637</v>
      </c>
    </row>
    <row r="167" spans="3:10" x14ac:dyDescent="0.2">
      <c r="C167" s="1" t="s">
        <v>290</v>
      </c>
      <c r="E167" s="16">
        <v>740</v>
      </c>
      <c r="F167" s="3">
        <v>11912</v>
      </c>
      <c r="G167" s="3">
        <v>34409</v>
      </c>
      <c r="H167" s="3">
        <v>150678</v>
      </c>
      <c r="I167" s="3">
        <f>244046-0.4</f>
        <v>244045.6</v>
      </c>
      <c r="J167" s="3">
        <v>86890</v>
      </c>
    </row>
    <row r="168" spans="3:10" x14ac:dyDescent="0.2">
      <c r="C168" s="1" t="s">
        <v>291</v>
      </c>
      <c r="E168" s="16">
        <v>730</v>
      </c>
      <c r="F168" s="3">
        <v>11895</v>
      </c>
      <c r="G168" s="3">
        <v>36284</v>
      </c>
      <c r="H168" s="3">
        <v>161994</v>
      </c>
      <c r="I168" s="3">
        <v>255718</v>
      </c>
      <c r="J168" s="3">
        <v>86948</v>
      </c>
    </row>
    <row r="169" spans="3:10" x14ac:dyDescent="0.2">
      <c r="C169" s="1" t="s">
        <v>292</v>
      </c>
      <c r="E169" s="16">
        <v>704</v>
      </c>
      <c r="F169" s="3">
        <v>11389</v>
      </c>
      <c r="G169" s="3">
        <v>35326</v>
      </c>
      <c r="H169" s="3">
        <v>145972</v>
      </c>
      <c r="I169" s="3">
        <f>231600-0.4</f>
        <v>231599.6</v>
      </c>
      <c r="J169" s="3">
        <v>79322</v>
      </c>
    </row>
    <row r="170" spans="3:10" x14ac:dyDescent="0.2">
      <c r="C170" s="1"/>
      <c r="E170" s="16"/>
      <c r="F170" s="3"/>
      <c r="G170" s="3"/>
      <c r="H170" s="3"/>
      <c r="I170" s="3"/>
      <c r="J170" s="3"/>
    </row>
    <row r="171" spans="3:10" x14ac:dyDescent="0.2">
      <c r="C171" s="1" t="s">
        <v>293</v>
      </c>
      <c r="E171" s="16">
        <v>678</v>
      </c>
      <c r="F171" s="3">
        <v>10950</v>
      </c>
      <c r="G171" s="3">
        <f>34406+0.4</f>
        <v>34406.400000000001</v>
      </c>
      <c r="H171" s="3">
        <f>134570-0.2</f>
        <v>134569.79999999999</v>
      </c>
      <c r="I171" s="3">
        <f>215592-0.4</f>
        <v>215591.6</v>
      </c>
      <c r="J171" s="3">
        <f>73707+0.4</f>
        <v>73707.399999999994</v>
      </c>
    </row>
    <row r="172" spans="3:10" x14ac:dyDescent="0.2">
      <c r="C172" s="1" t="s">
        <v>294</v>
      </c>
      <c r="E172" s="16">
        <v>420</v>
      </c>
      <c r="F172" s="3">
        <v>7586</v>
      </c>
      <c r="G172" s="3">
        <f>28197+0.4</f>
        <v>28197.4</v>
      </c>
      <c r="H172" s="3">
        <v>102682</v>
      </c>
      <c r="I172" s="3">
        <v>168282</v>
      </c>
      <c r="J172" s="3">
        <v>59325</v>
      </c>
    </row>
    <row r="173" spans="3:10" x14ac:dyDescent="0.2">
      <c r="C173" s="1" t="s">
        <v>295</v>
      </c>
      <c r="E173" s="16">
        <v>382</v>
      </c>
      <c r="F173" s="3">
        <v>6889</v>
      </c>
      <c r="G173" s="3">
        <v>26284</v>
      </c>
      <c r="H173" s="3">
        <v>92282</v>
      </c>
      <c r="I173" s="3">
        <f>151064-0.4</f>
        <v>151063.6</v>
      </c>
      <c r="J173" s="3">
        <v>53838</v>
      </c>
    </row>
    <row r="174" spans="3:10" x14ac:dyDescent="0.2">
      <c r="C174" s="1" t="s">
        <v>296</v>
      </c>
      <c r="E174" s="16">
        <v>369</v>
      </c>
      <c r="F174" s="3">
        <v>6774</v>
      </c>
      <c r="G174" s="3">
        <v>25795</v>
      </c>
      <c r="H174" s="3">
        <v>90457</v>
      </c>
      <c r="I174" s="3">
        <v>147194</v>
      </c>
      <c r="J174" s="3">
        <v>52207</v>
      </c>
    </row>
    <row r="175" spans="3:10" x14ac:dyDescent="0.2">
      <c r="C175" s="1" t="s">
        <v>297</v>
      </c>
      <c r="E175" s="16">
        <v>354</v>
      </c>
      <c r="F175" s="3">
        <v>6723</v>
      </c>
      <c r="G175" s="3">
        <v>25752</v>
      </c>
      <c r="H175" s="3">
        <v>87912</v>
      </c>
      <c r="I175" s="3">
        <v>146744</v>
      </c>
      <c r="J175" s="3">
        <v>53997</v>
      </c>
    </row>
    <row r="176" spans="3:10" x14ac:dyDescent="0.2">
      <c r="C176" s="1" t="s">
        <v>298</v>
      </c>
      <c r="E176" s="16">
        <v>347</v>
      </c>
      <c r="F176" s="3">
        <v>6316</v>
      </c>
      <c r="G176" s="3">
        <v>23979</v>
      </c>
      <c r="H176" s="3">
        <v>76348</v>
      </c>
      <c r="I176" s="3">
        <v>132461</v>
      </c>
      <c r="J176" s="3">
        <v>50791</v>
      </c>
    </row>
    <row r="177" spans="2:10" x14ac:dyDescent="0.2">
      <c r="C177" s="1"/>
      <c r="E177" s="16"/>
      <c r="F177" s="3"/>
      <c r="G177" s="3"/>
      <c r="H177" s="3"/>
      <c r="I177" s="3"/>
      <c r="J177" s="3"/>
    </row>
    <row r="178" spans="2:10" x14ac:dyDescent="0.2">
      <c r="C178" s="1" t="s">
        <v>307</v>
      </c>
      <c r="D178" s="15"/>
      <c r="E178" s="16">
        <v>332</v>
      </c>
      <c r="F178" s="3">
        <v>6006</v>
      </c>
      <c r="G178" s="3">
        <v>22857</v>
      </c>
      <c r="H178" s="3">
        <v>70847</v>
      </c>
      <c r="I178" s="3">
        <v>123754</v>
      </c>
      <c r="J178" s="3">
        <v>47921</v>
      </c>
    </row>
    <row r="179" spans="2:10" x14ac:dyDescent="0.2">
      <c r="C179" s="1" t="s">
        <v>308</v>
      </c>
      <c r="D179" s="80"/>
      <c r="E179" s="16">
        <v>292</v>
      </c>
      <c r="F179" s="3">
        <v>5241</v>
      </c>
      <c r="G179" s="3">
        <v>19143</v>
      </c>
      <c r="H179" s="3">
        <v>59080</v>
      </c>
      <c r="I179" s="3">
        <v>105134</v>
      </c>
      <c r="J179" s="3">
        <v>42238</v>
      </c>
    </row>
    <row r="180" spans="2:10" x14ac:dyDescent="0.2">
      <c r="C180" s="4" t="s">
        <v>309</v>
      </c>
      <c r="D180" s="15"/>
      <c r="E180" s="88">
        <v>279</v>
      </c>
      <c r="F180" s="39">
        <v>4809</v>
      </c>
      <c r="G180" s="39">
        <v>17072</v>
      </c>
      <c r="H180" s="39">
        <v>52674</v>
      </c>
      <c r="I180" s="39">
        <v>93018</v>
      </c>
      <c r="J180" s="39">
        <v>36754</v>
      </c>
    </row>
    <row r="181" spans="2:10" ht="18" thickBot="1" x14ac:dyDescent="0.25">
      <c r="B181" s="5"/>
      <c r="C181" s="5"/>
      <c r="D181" s="5"/>
      <c r="E181" s="41"/>
      <c r="F181" s="5"/>
      <c r="G181" s="5"/>
      <c r="H181" s="5"/>
      <c r="I181" s="5"/>
      <c r="J181" s="5"/>
    </row>
    <row r="182" spans="2:10" x14ac:dyDescent="0.2">
      <c r="E182" s="7"/>
      <c r="F182" s="24"/>
      <c r="G182" s="24"/>
      <c r="H182" s="24"/>
      <c r="I182" s="24"/>
      <c r="J182" s="24"/>
    </row>
    <row r="183" spans="2:10" x14ac:dyDescent="0.2">
      <c r="E183" s="11"/>
      <c r="F183" s="10"/>
      <c r="G183" s="26" t="s">
        <v>318</v>
      </c>
      <c r="H183" s="10"/>
      <c r="I183" s="10"/>
      <c r="J183" s="10"/>
    </row>
    <row r="184" spans="2:10" x14ac:dyDescent="0.2">
      <c r="E184" s="7"/>
      <c r="F184" s="7"/>
      <c r="G184" s="7"/>
      <c r="H184" s="8" t="s">
        <v>256</v>
      </c>
      <c r="I184" s="8" t="s">
        <v>257</v>
      </c>
      <c r="J184" s="8" t="s">
        <v>279</v>
      </c>
    </row>
    <row r="185" spans="2:10" x14ac:dyDescent="0.2">
      <c r="B185" s="10"/>
      <c r="C185" s="10"/>
      <c r="D185" s="10"/>
      <c r="E185" s="12" t="s">
        <v>258</v>
      </c>
      <c r="F185" s="12" t="s">
        <v>259</v>
      </c>
      <c r="G185" s="12" t="s">
        <v>6</v>
      </c>
      <c r="H185" s="35" t="s">
        <v>11</v>
      </c>
      <c r="I185" s="35" t="s">
        <v>260</v>
      </c>
      <c r="J185" s="35" t="s">
        <v>261</v>
      </c>
    </row>
    <row r="186" spans="2:10" x14ac:dyDescent="0.2">
      <c r="E186" s="7"/>
      <c r="F186" s="13" t="s">
        <v>14</v>
      </c>
      <c r="G186" s="13" t="s">
        <v>280</v>
      </c>
      <c r="H186" s="13" t="s">
        <v>280</v>
      </c>
      <c r="I186" s="13" t="s">
        <v>280</v>
      </c>
      <c r="J186" s="13" t="s">
        <v>280</v>
      </c>
    </row>
    <row r="187" spans="2:10" x14ac:dyDescent="0.2">
      <c r="C187" s="1" t="s">
        <v>281</v>
      </c>
      <c r="E187" s="16">
        <v>517</v>
      </c>
      <c r="F187" s="3">
        <v>6550</v>
      </c>
      <c r="G187" s="3">
        <v>8354</v>
      </c>
      <c r="H187" s="3">
        <f>22146-0.4</f>
        <v>22145.599999999999</v>
      </c>
      <c r="I187" s="3">
        <v>42266</v>
      </c>
      <c r="J187" s="3">
        <v>19639</v>
      </c>
    </row>
    <row r="188" spans="2:10" x14ac:dyDescent="0.2">
      <c r="C188" s="1" t="s">
        <v>282</v>
      </c>
      <c r="E188" s="16">
        <v>545</v>
      </c>
      <c r="F188" s="3">
        <v>6892</v>
      </c>
      <c r="G188" s="3">
        <v>8906</v>
      </c>
      <c r="H188" s="3">
        <v>27496</v>
      </c>
      <c r="I188" s="3">
        <f>47191+0.4</f>
        <v>47191.4</v>
      </c>
      <c r="J188" s="3">
        <v>19105</v>
      </c>
    </row>
    <row r="189" spans="2:10" x14ac:dyDescent="0.2">
      <c r="C189" s="1" t="s">
        <v>283</v>
      </c>
      <c r="E189" s="16">
        <v>540</v>
      </c>
      <c r="F189" s="3">
        <v>6600</v>
      </c>
      <c r="G189" s="3">
        <f>8994-0.4</f>
        <v>8993.6</v>
      </c>
      <c r="H189" s="3">
        <f>26066-0.4</f>
        <v>26065.599999999999</v>
      </c>
      <c r="I189" s="3">
        <v>45760</v>
      </c>
      <c r="J189" s="3">
        <f>19093-0.4</f>
        <v>19092.599999999999</v>
      </c>
    </row>
    <row r="190" spans="2:10" x14ac:dyDescent="0.2">
      <c r="C190" s="1" t="s">
        <v>284</v>
      </c>
      <c r="E190" s="16">
        <v>531</v>
      </c>
      <c r="F190" s="3">
        <v>6667</v>
      </c>
      <c r="G190" s="3">
        <v>9174</v>
      </c>
      <c r="H190" s="3">
        <v>26493</v>
      </c>
      <c r="I190" s="3">
        <f>46255+0.4</f>
        <v>46255.4</v>
      </c>
      <c r="J190" s="3">
        <f>19050-0.3</f>
        <v>19049.7</v>
      </c>
    </row>
    <row r="191" spans="2:10" x14ac:dyDescent="0.2">
      <c r="C191" s="1" t="s">
        <v>285</v>
      </c>
      <c r="E191" s="16">
        <v>477</v>
      </c>
      <c r="F191" s="3">
        <v>5833</v>
      </c>
      <c r="G191" s="3">
        <v>8565</v>
      </c>
      <c r="H191" s="3">
        <v>25735</v>
      </c>
      <c r="I191" s="3">
        <f>44404-0.4</f>
        <v>44403.6</v>
      </c>
      <c r="J191" s="3">
        <v>18352</v>
      </c>
    </row>
    <row r="192" spans="2:10" x14ac:dyDescent="0.2">
      <c r="C192" s="1" t="s">
        <v>286</v>
      </c>
      <c r="E192" s="16">
        <v>463</v>
      </c>
      <c r="F192" s="3">
        <v>5794</v>
      </c>
      <c r="G192" s="3">
        <v>8816</v>
      </c>
      <c r="H192" s="3">
        <v>23951</v>
      </c>
      <c r="I192" s="3">
        <v>43191</v>
      </c>
      <c r="J192" s="3">
        <v>19079</v>
      </c>
    </row>
    <row r="193" spans="3:10" x14ac:dyDescent="0.2">
      <c r="C193" s="1"/>
      <c r="E193" s="16"/>
      <c r="F193" s="3"/>
      <c r="G193" s="3"/>
      <c r="H193" s="3"/>
      <c r="I193" s="3"/>
      <c r="J193" s="3"/>
    </row>
    <row r="194" spans="3:10" x14ac:dyDescent="0.2">
      <c r="C194" s="1" t="s">
        <v>287</v>
      </c>
      <c r="E194" s="16">
        <v>441</v>
      </c>
      <c r="F194" s="3">
        <v>5665</v>
      </c>
      <c r="G194" s="3">
        <v>8652</v>
      </c>
      <c r="H194" s="3">
        <v>20073</v>
      </c>
      <c r="I194" s="3">
        <v>39095</v>
      </c>
      <c r="J194" s="3">
        <v>18614</v>
      </c>
    </row>
    <row r="195" spans="3:10" x14ac:dyDescent="0.2">
      <c r="C195" s="1" t="s">
        <v>288</v>
      </c>
      <c r="E195" s="16">
        <v>461</v>
      </c>
      <c r="F195" s="3">
        <v>5638</v>
      </c>
      <c r="G195" s="3">
        <v>8626</v>
      </c>
      <c r="H195" s="3">
        <v>21423</v>
      </c>
      <c r="I195" s="3">
        <v>40136</v>
      </c>
      <c r="J195" s="3">
        <v>17899</v>
      </c>
    </row>
    <row r="196" spans="3:10" x14ac:dyDescent="0.2">
      <c r="C196" s="1" t="s">
        <v>289</v>
      </c>
      <c r="E196" s="16">
        <v>430</v>
      </c>
      <c r="F196" s="3">
        <v>5259</v>
      </c>
      <c r="G196" s="3">
        <v>8618</v>
      </c>
      <c r="H196" s="3">
        <f>21632-0.4</f>
        <v>21631.599999999999</v>
      </c>
      <c r="I196" s="3">
        <v>41334</v>
      </c>
      <c r="J196" s="3">
        <v>19051</v>
      </c>
    </row>
    <row r="197" spans="3:10" x14ac:dyDescent="0.2">
      <c r="C197" s="1" t="s">
        <v>290</v>
      </c>
      <c r="E197" s="16">
        <v>418</v>
      </c>
      <c r="F197" s="3">
        <v>4968</v>
      </c>
      <c r="G197" s="3">
        <v>8323</v>
      </c>
      <c r="H197" s="3">
        <v>19919</v>
      </c>
      <c r="I197" s="3">
        <f>39369-0.4</f>
        <v>39368.6</v>
      </c>
      <c r="J197" s="3">
        <v>18771</v>
      </c>
    </row>
    <row r="198" spans="3:10" x14ac:dyDescent="0.2">
      <c r="C198" s="1" t="s">
        <v>291</v>
      </c>
      <c r="E198" s="16">
        <v>425</v>
      </c>
      <c r="F198" s="3">
        <v>4895</v>
      </c>
      <c r="G198" s="3">
        <v>8620</v>
      </c>
      <c r="H198" s="3">
        <v>20618</v>
      </c>
      <c r="I198" s="3">
        <v>40224</v>
      </c>
      <c r="J198" s="3">
        <v>18821</v>
      </c>
    </row>
    <row r="199" spans="3:10" x14ac:dyDescent="0.2">
      <c r="C199" s="1" t="s">
        <v>292</v>
      </c>
      <c r="E199" s="16">
        <v>406</v>
      </c>
      <c r="F199" s="3">
        <v>4721</v>
      </c>
      <c r="G199" s="3">
        <v>8926</v>
      </c>
      <c r="H199" s="3">
        <v>21043</v>
      </c>
      <c r="I199" s="3">
        <f>41091-0.2</f>
        <v>41090.800000000003</v>
      </c>
      <c r="J199" s="3">
        <v>19565</v>
      </c>
    </row>
    <row r="200" spans="3:10" x14ac:dyDescent="0.2">
      <c r="C200" s="1"/>
      <c r="E200" s="16"/>
      <c r="F200" s="3"/>
      <c r="G200" s="3"/>
      <c r="H200" s="3"/>
      <c r="I200" s="3"/>
      <c r="J200" s="3"/>
    </row>
    <row r="201" spans="3:10" x14ac:dyDescent="0.2">
      <c r="C201" s="1" t="s">
        <v>293</v>
      </c>
      <c r="E201" s="16">
        <v>377</v>
      </c>
      <c r="F201" s="3">
        <v>4315</v>
      </c>
      <c r="G201" s="3">
        <f>8136+0.4</f>
        <v>8136.4</v>
      </c>
      <c r="H201" s="3">
        <v>16227</v>
      </c>
      <c r="I201" s="3">
        <v>32493</v>
      </c>
      <c r="J201" s="3">
        <f>15283+0.1</f>
        <v>15283.1</v>
      </c>
    </row>
    <row r="202" spans="3:10" x14ac:dyDescent="0.2">
      <c r="C202" s="1" t="s">
        <v>294</v>
      </c>
      <c r="E202" s="16">
        <v>570</v>
      </c>
      <c r="F202" s="3">
        <v>6607</v>
      </c>
      <c r="G202" s="3">
        <f>12594+0.4</f>
        <v>12594.4</v>
      </c>
      <c r="H202" s="3">
        <v>32888</v>
      </c>
      <c r="I202" s="3">
        <v>59044</v>
      </c>
      <c r="J202" s="3">
        <v>24996</v>
      </c>
    </row>
    <row r="203" spans="3:10" x14ac:dyDescent="0.2">
      <c r="C203" s="1" t="s">
        <v>295</v>
      </c>
      <c r="E203" s="16">
        <v>549</v>
      </c>
      <c r="F203" s="3">
        <v>6519</v>
      </c>
      <c r="G203" s="3">
        <v>13161</v>
      </c>
      <c r="H203" s="3">
        <v>34232</v>
      </c>
      <c r="I203" s="3">
        <f>59843-0.4</f>
        <v>59842.6</v>
      </c>
      <c r="J203" s="3">
        <v>24302</v>
      </c>
    </row>
    <row r="204" spans="3:10" x14ac:dyDescent="0.2">
      <c r="C204" s="1" t="s">
        <v>296</v>
      </c>
      <c r="E204" s="16">
        <v>517</v>
      </c>
      <c r="F204" s="3">
        <v>5802</v>
      </c>
      <c r="G204" s="3">
        <v>11382</v>
      </c>
      <c r="H204" s="3">
        <v>26567</v>
      </c>
      <c r="I204" s="3">
        <v>48952</v>
      </c>
      <c r="J204" s="3">
        <v>21358</v>
      </c>
    </row>
    <row r="205" spans="3:10" x14ac:dyDescent="0.2">
      <c r="C205" s="1" t="s">
        <v>297</v>
      </c>
      <c r="E205" s="16">
        <v>468</v>
      </c>
      <c r="F205" s="3">
        <v>5412</v>
      </c>
      <c r="G205" s="3">
        <v>10645</v>
      </c>
      <c r="H205" s="3">
        <v>26095</v>
      </c>
      <c r="I205" s="3">
        <v>52298</v>
      </c>
      <c r="J205" s="3">
        <v>25216</v>
      </c>
    </row>
    <row r="206" spans="3:10" x14ac:dyDescent="0.2">
      <c r="C206" s="1" t="s">
        <v>298</v>
      </c>
      <c r="E206" s="16">
        <v>476</v>
      </c>
      <c r="F206" s="3">
        <v>4966</v>
      </c>
      <c r="G206" s="3">
        <v>9601</v>
      </c>
      <c r="H206" s="3">
        <v>21769</v>
      </c>
      <c r="I206" s="3">
        <v>41756</v>
      </c>
      <c r="J206" s="3">
        <v>18782</v>
      </c>
    </row>
    <row r="207" spans="3:10" x14ac:dyDescent="0.2">
      <c r="C207" s="1"/>
      <c r="E207" s="16"/>
      <c r="F207" s="3"/>
      <c r="G207" s="3"/>
      <c r="H207" s="3"/>
      <c r="I207" s="3"/>
      <c r="J207" s="3"/>
    </row>
    <row r="208" spans="3:10" x14ac:dyDescent="0.2">
      <c r="C208" s="1" t="s">
        <v>307</v>
      </c>
      <c r="D208" s="15"/>
      <c r="E208" s="16">
        <v>409</v>
      </c>
      <c r="F208" s="3">
        <v>4239</v>
      </c>
      <c r="G208" s="3">
        <v>8071</v>
      </c>
      <c r="H208" s="3">
        <v>17923</v>
      </c>
      <c r="I208" s="3">
        <v>34245</v>
      </c>
      <c r="J208" s="3">
        <v>14913</v>
      </c>
    </row>
    <row r="209" spans="1:10" x14ac:dyDescent="0.2">
      <c r="C209" s="1" t="s">
        <v>308</v>
      </c>
      <c r="D209" s="80"/>
      <c r="E209" s="16">
        <v>379</v>
      </c>
      <c r="F209" s="3">
        <v>3747</v>
      </c>
      <c r="G209" s="3">
        <v>7045</v>
      </c>
      <c r="H209" s="3">
        <v>16858</v>
      </c>
      <c r="I209" s="3">
        <v>32341</v>
      </c>
      <c r="J209" s="3">
        <v>14637</v>
      </c>
    </row>
    <row r="210" spans="1:10" x14ac:dyDescent="0.2">
      <c r="C210" s="4" t="s">
        <v>309</v>
      </c>
      <c r="D210" s="80"/>
      <c r="E210" s="88">
        <v>323</v>
      </c>
      <c r="F210" s="39">
        <v>3415</v>
      </c>
      <c r="G210" s="39">
        <v>6446</v>
      </c>
      <c r="H210" s="39">
        <v>16091</v>
      </c>
      <c r="I210" s="39">
        <v>33236</v>
      </c>
      <c r="J210" s="39">
        <v>16034</v>
      </c>
    </row>
    <row r="211" spans="1:10" ht="18" thickBot="1" x14ac:dyDescent="0.25">
      <c r="B211" s="5"/>
      <c r="C211" s="5"/>
      <c r="D211" s="5"/>
      <c r="E211" s="41"/>
      <c r="F211" s="5"/>
      <c r="G211" s="5"/>
      <c r="H211" s="5"/>
      <c r="I211" s="5"/>
      <c r="J211" s="5"/>
    </row>
    <row r="212" spans="1:10" x14ac:dyDescent="0.2">
      <c r="D212" s="1" t="s">
        <v>273</v>
      </c>
      <c r="E212" s="1"/>
      <c r="H212" s="1" t="s">
        <v>319</v>
      </c>
    </row>
    <row r="213" spans="1:10" x14ac:dyDescent="0.2">
      <c r="H213" s="1"/>
    </row>
    <row r="215" spans="1:10" x14ac:dyDescent="0.2">
      <c r="A215" s="1"/>
    </row>
    <row r="216" spans="1:10" x14ac:dyDescent="0.2">
      <c r="A216" s="1"/>
    </row>
    <row r="221" spans="1:10" x14ac:dyDescent="0.2">
      <c r="C221" s="15"/>
      <c r="D221" s="15"/>
      <c r="E221" s="15"/>
      <c r="F221" s="4" t="s">
        <v>303</v>
      </c>
    </row>
    <row r="222" spans="1:10" x14ac:dyDescent="0.2">
      <c r="F222" s="1" t="s">
        <v>304</v>
      </c>
    </row>
    <row r="223" spans="1:10" ht="18" thickBot="1" x14ac:dyDescent="0.25">
      <c r="B223" s="5"/>
      <c r="C223" s="5"/>
      <c r="D223" s="5"/>
      <c r="E223" s="5"/>
      <c r="F223" s="6" t="s">
        <v>320</v>
      </c>
      <c r="G223" s="5"/>
      <c r="H223" s="5"/>
      <c r="I223" s="5"/>
      <c r="J223" s="5"/>
    </row>
    <row r="224" spans="1:10" x14ac:dyDescent="0.2">
      <c r="E224" s="7"/>
      <c r="F224" s="24"/>
      <c r="G224" s="24"/>
      <c r="H224" s="24"/>
      <c r="I224" s="24"/>
      <c r="J224" s="24"/>
    </row>
    <row r="225" spans="2:10" x14ac:dyDescent="0.2">
      <c r="E225" s="11"/>
      <c r="F225" s="10"/>
      <c r="G225" s="26" t="s">
        <v>321</v>
      </c>
      <c r="H225" s="10"/>
      <c r="I225" s="10"/>
      <c r="J225" s="10"/>
    </row>
    <row r="226" spans="2:10" x14ac:dyDescent="0.2">
      <c r="E226" s="7"/>
      <c r="F226" s="7"/>
      <c r="G226" s="7"/>
      <c r="H226" s="8" t="s">
        <v>256</v>
      </c>
      <c r="I226" s="8" t="s">
        <v>257</v>
      </c>
      <c r="J226" s="8" t="s">
        <v>279</v>
      </c>
    </row>
    <row r="227" spans="2:10" x14ac:dyDescent="0.2">
      <c r="B227" s="10"/>
      <c r="C227" s="10"/>
      <c r="D227" s="10"/>
      <c r="E227" s="12" t="s">
        <v>258</v>
      </c>
      <c r="F227" s="12" t="s">
        <v>259</v>
      </c>
      <c r="G227" s="12" t="s">
        <v>6</v>
      </c>
      <c r="H227" s="35" t="s">
        <v>11</v>
      </c>
      <c r="I227" s="35" t="s">
        <v>260</v>
      </c>
      <c r="J227" s="35" t="s">
        <v>261</v>
      </c>
    </row>
    <row r="228" spans="2:10" x14ac:dyDescent="0.2">
      <c r="E228" s="7"/>
      <c r="F228" s="13" t="s">
        <v>14</v>
      </c>
      <c r="G228" s="13" t="s">
        <v>280</v>
      </c>
      <c r="H228" s="13" t="s">
        <v>280</v>
      </c>
      <c r="I228" s="13" t="s">
        <v>280</v>
      </c>
      <c r="J228" s="13" t="s">
        <v>280</v>
      </c>
    </row>
    <row r="229" spans="2:10" x14ac:dyDescent="0.2">
      <c r="C229" s="1" t="s">
        <v>281</v>
      </c>
      <c r="E229" s="16">
        <v>483</v>
      </c>
      <c r="F229" s="3">
        <v>4845</v>
      </c>
      <c r="G229" s="3">
        <v>9745</v>
      </c>
      <c r="H229" s="3">
        <v>52207</v>
      </c>
      <c r="I229" s="3">
        <v>74893</v>
      </c>
      <c r="J229" s="3">
        <v>21715</v>
      </c>
    </row>
    <row r="230" spans="2:10" x14ac:dyDescent="0.2">
      <c r="C230" s="1" t="s">
        <v>282</v>
      </c>
      <c r="E230" s="16">
        <v>484</v>
      </c>
      <c r="F230" s="3">
        <v>4649</v>
      </c>
      <c r="G230" s="3">
        <v>9638</v>
      </c>
      <c r="H230" s="3">
        <v>52239</v>
      </c>
      <c r="I230" s="3">
        <f>72401+0.4</f>
        <v>72401.399999999994</v>
      </c>
      <c r="J230" s="3">
        <v>19520</v>
      </c>
    </row>
    <row r="231" spans="2:10" x14ac:dyDescent="0.2">
      <c r="C231" s="1" t="s">
        <v>283</v>
      </c>
      <c r="E231" s="16">
        <v>459</v>
      </c>
      <c r="F231" s="3">
        <v>4425</v>
      </c>
      <c r="G231" s="3">
        <f>9463-0.4</f>
        <v>9462.6</v>
      </c>
      <c r="H231" s="3">
        <f>49540-0.4</f>
        <v>49539.6</v>
      </c>
      <c r="I231" s="3">
        <v>70288</v>
      </c>
      <c r="J231" s="3">
        <f>20046-0.4</f>
        <v>20045.599999999999</v>
      </c>
    </row>
    <row r="232" spans="2:10" x14ac:dyDescent="0.2">
      <c r="C232" s="1" t="s">
        <v>284</v>
      </c>
      <c r="E232" s="16">
        <v>416</v>
      </c>
      <c r="F232" s="3">
        <v>4042</v>
      </c>
      <c r="G232" s="3">
        <v>8963</v>
      </c>
      <c r="H232" s="3">
        <v>45734</v>
      </c>
      <c r="I232" s="3">
        <f>65979+0.4</f>
        <v>65979.399999999994</v>
      </c>
      <c r="J232" s="3">
        <v>19815</v>
      </c>
    </row>
    <row r="233" spans="2:10" x14ac:dyDescent="0.2">
      <c r="C233" s="1" t="s">
        <v>285</v>
      </c>
      <c r="E233" s="16">
        <v>432</v>
      </c>
      <c r="F233" s="3">
        <v>4171</v>
      </c>
      <c r="G233" s="3">
        <v>9759</v>
      </c>
      <c r="H233" s="3">
        <v>47541</v>
      </c>
      <c r="I233" s="3">
        <v>70674</v>
      </c>
      <c r="J233" s="3">
        <v>22747</v>
      </c>
    </row>
    <row r="234" spans="2:10" x14ac:dyDescent="0.2">
      <c r="C234" s="1" t="s">
        <v>286</v>
      </c>
      <c r="E234" s="16">
        <v>416</v>
      </c>
      <c r="F234" s="3">
        <v>4023</v>
      </c>
      <c r="G234" s="3">
        <v>9598</v>
      </c>
      <c r="H234" s="3">
        <v>43609</v>
      </c>
      <c r="I234" s="3">
        <v>66376</v>
      </c>
      <c r="J234" s="3">
        <v>22659</v>
      </c>
    </row>
    <row r="235" spans="2:10" x14ac:dyDescent="0.2">
      <c r="C235" s="1"/>
      <c r="E235" s="16"/>
      <c r="F235" s="3"/>
      <c r="G235" s="3"/>
      <c r="H235" s="3"/>
      <c r="I235" s="3"/>
      <c r="J235" s="3"/>
    </row>
    <row r="236" spans="2:10" x14ac:dyDescent="0.2">
      <c r="C236" s="1" t="s">
        <v>287</v>
      </c>
      <c r="E236" s="16">
        <v>403</v>
      </c>
      <c r="F236" s="3">
        <v>4157</v>
      </c>
      <c r="G236" s="3">
        <v>10181</v>
      </c>
      <c r="H236" s="3">
        <v>45517</v>
      </c>
      <c r="I236" s="3">
        <v>71610</v>
      </c>
      <c r="J236" s="3">
        <v>24711</v>
      </c>
    </row>
    <row r="237" spans="2:10" x14ac:dyDescent="0.2">
      <c r="C237" s="1" t="s">
        <v>288</v>
      </c>
      <c r="E237" s="16">
        <v>411</v>
      </c>
      <c r="F237" s="3">
        <v>4251</v>
      </c>
      <c r="G237" s="3">
        <v>10799</v>
      </c>
      <c r="H237" s="3">
        <v>47456</v>
      </c>
      <c r="I237" s="3">
        <v>74882</v>
      </c>
      <c r="J237" s="3">
        <v>26747</v>
      </c>
    </row>
    <row r="238" spans="2:10" x14ac:dyDescent="0.2">
      <c r="C238" s="1" t="s">
        <v>289</v>
      </c>
      <c r="E238" s="16">
        <v>398</v>
      </c>
      <c r="F238" s="3">
        <v>4114</v>
      </c>
      <c r="G238" s="3">
        <v>10912</v>
      </c>
      <c r="H238" s="3">
        <v>52599</v>
      </c>
      <c r="I238" s="3">
        <v>80281</v>
      </c>
      <c r="J238" s="3">
        <v>26548</v>
      </c>
    </row>
    <row r="239" spans="2:10" x14ac:dyDescent="0.2">
      <c r="C239" s="1" t="s">
        <v>290</v>
      </c>
      <c r="E239" s="16">
        <v>394</v>
      </c>
      <c r="F239" s="3">
        <v>4042</v>
      </c>
      <c r="G239" s="3">
        <v>10984</v>
      </c>
      <c r="H239" s="3">
        <v>55928</v>
      </c>
      <c r="I239" s="3">
        <v>83944</v>
      </c>
      <c r="J239" s="3">
        <v>26876</v>
      </c>
    </row>
    <row r="240" spans="2:10" x14ac:dyDescent="0.2">
      <c r="C240" s="1" t="s">
        <v>291</v>
      </c>
      <c r="E240" s="16">
        <v>379</v>
      </c>
      <c r="F240" s="3">
        <v>3858</v>
      </c>
      <c r="G240" s="3">
        <v>11427</v>
      </c>
      <c r="H240" s="3">
        <v>52700</v>
      </c>
      <c r="I240" s="3">
        <v>79430</v>
      </c>
      <c r="J240" s="3">
        <v>25417</v>
      </c>
    </row>
    <row r="241" spans="2:10" x14ac:dyDescent="0.2">
      <c r="C241" s="1" t="s">
        <v>292</v>
      </c>
      <c r="E241" s="16">
        <v>363</v>
      </c>
      <c r="F241" s="3">
        <v>3729</v>
      </c>
      <c r="G241" s="3">
        <v>11129</v>
      </c>
      <c r="H241" s="3">
        <v>51786</v>
      </c>
      <c r="I241" s="3">
        <f>75493-0.2</f>
        <v>75492.800000000003</v>
      </c>
      <c r="J241" s="3">
        <v>22341</v>
      </c>
    </row>
    <row r="242" spans="2:10" x14ac:dyDescent="0.2">
      <c r="C242" s="1"/>
      <c r="E242" s="16"/>
      <c r="F242" s="3"/>
      <c r="G242" s="3"/>
      <c r="H242" s="3"/>
      <c r="I242" s="3"/>
      <c r="J242" s="3"/>
    </row>
    <row r="243" spans="2:10" x14ac:dyDescent="0.2">
      <c r="C243" s="1" t="s">
        <v>293</v>
      </c>
      <c r="E243" s="16">
        <v>359</v>
      </c>
      <c r="F243" s="3">
        <v>3720</v>
      </c>
      <c r="G243" s="3">
        <f>11311+0.4</f>
        <v>11311.4</v>
      </c>
      <c r="H243" s="3">
        <v>52690</v>
      </c>
      <c r="I243" s="3">
        <v>79745</v>
      </c>
      <c r="J243" s="3">
        <v>25398</v>
      </c>
    </row>
    <row r="244" spans="2:10" x14ac:dyDescent="0.2">
      <c r="C244" s="1" t="s">
        <v>294</v>
      </c>
      <c r="E244" s="16">
        <v>338</v>
      </c>
      <c r="F244" s="3">
        <v>3526</v>
      </c>
      <c r="G244" s="3">
        <f>11181+0.4</f>
        <v>11181.4</v>
      </c>
      <c r="H244" s="3">
        <v>50075</v>
      </c>
      <c r="I244" s="3">
        <v>77227</v>
      </c>
      <c r="J244" s="3">
        <v>25567</v>
      </c>
    </row>
    <row r="245" spans="2:10" x14ac:dyDescent="0.2">
      <c r="C245" s="1" t="s">
        <v>295</v>
      </c>
      <c r="E245" s="16">
        <v>333</v>
      </c>
      <c r="F245" s="3">
        <v>3428</v>
      </c>
      <c r="G245" s="3">
        <v>10591</v>
      </c>
      <c r="H245" s="3">
        <v>46360</v>
      </c>
      <c r="I245" s="3">
        <f>71495-0.4</f>
        <v>71494.600000000006</v>
      </c>
      <c r="J245" s="3">
        <v>23943</v>
      </c>
    </row>
    <row r="246" spans="2:10" x14ac:dyDescent="0.2">
      <c r="C246" s="1" t="s">
        <v>296</v>
      </c>
      <c r="E246" s="16">
        <v>314</v>
      </c>
      <c r="F246" s="3">
        <v>3319</v>
      </c>
      <c r="G246" s="3">
        <v>10568</v>
      </c>
      <c r="H246" s="3">
        <v>46675</v>
      </c>
      <c r="I246" s="3">
        <v>70702</v>
      </c>
      <c r="J246" s="3">
        <v>22387</v>
      </c>
    </row>
    <row r="247" spans="2:10" x14ac:dyDescent="0.2">
      <c r="C247" s="1" t="s">
        <v>297</v>
      </c>
      <c r="E247" s="16">
        <v>291</v>
      </c>
      <c r="F247" s="3">
        <v>3088</v>
      </c>
      <c r="G247" s="3">
        <v>10044</v>
      </c>
      <c r="H247" s="3">
        <v>43692</v>
      </c>
      <c r="I247" s="3">
        <v>67392</v>
      </c>
      <c r="J247" s="3">
        <v>22029</v>
      </c>
    </row>
    <row r="248" spans="2:10" x14ac:dyDescent="0.2">
      <c r="C248" s="1" t="s">
        <v>298</v>
      </c>
      <c r="E248" s="16">
        <v>290</v>
      </c>
      <c r="F248" s="3">
        <v>2855</v>
      </c>
      <c r="G248" s="3">
        <v>9395</v>
      </c>
      <c r="H248" s="3">
        <v>34120</v>
      </c>
      <c r="I248" s="3">
        <v>54623</v>
      </c>
      <c r="J248" s="3">
        <v>19232</v>
      </c>
    </row>
    <row r="249" spans="2:10" x14ac:dyDescent="0.2">
      <c r="C249" s="1"/>
      <c r="E249" s="16"/>
      <c r="F249" s="3"/>
      <c r="G249" s="3"/>
      <c r="H249" s="3"/>
      <c r="I249" s="3"/>
      <c r="J249" s="3"/>
    </row>
    <row r="250" spans="2:10" x14ac:dyDescent="0.2">
      <c r="C250" s="1" t="s">
        <v>307</v>
      </c>
      <c r="D250" s="15"/>
      <c r="E250" s="16">
        <v>258</v>
      </c>
      <c r="F250" s="3">
        <v>2658</v>
      </c>
      <c r="G250" s="3">
        <v>8960</v>
      </c>
      <c r="H250" s="3">
        <v>29707</v>
      </c>
      <c r="I250" s="3">
        <v>50005</v>
      </c>
      <c r="J250" s="3">
        <v>18691</v>
      </c>
    </row>
    <row r="251" spans="2:10" x14ac:dyDescent="0.2">
      <c r="C251" s="1" t="s">
        <v>308</v>
      </c>
      <c r="D251" s="80"/>
      <c r="E251" s="16">
        <v>249</v>
      </c>
      <c r="F251" s="3">
        <v>2491</v>
      </c>
      <c r="G251" s="3">
        <v>8360</v>
      </c>
      <c r="H251" s="3">
        <v>28658</v>
      </c>
      <c r="I251" s="3">
        <v>46547</v>
      </c>
      <c r="J251" s="3">
        <v>16808</v>
      </c>
    </row>
    <row r="252" spans="2:10" x14ac:dyDescent="0.2">
      <c r="C252" s="4" t="s">
        <v>309</v>
      </c>
      <c r="D252" s="15"/>
      <c r="E252" s="88">
        <v>222</v>
      </c>
      <c r="F252" s="39">
        <v>2254</v>
      </c>
      <c r="G252" s="39">
        <v>7339</v>
      </c>
      <c r="H252" s="39">
        <v>25069</v>
      </c>
      <c r="I252" s="39">
        <v>42012</v>
      </c>
      <c r="J252" s="39">
        <v>15938</v>
      </c>
    </row>
    <row r="253" spans="2:10" ht="18" thickBot="1" x14ac:dyDescent="0.25">
      <c r="B253" s="5"/>
      <c r="C253" s="5"/>
      <c r="D253" s="5"/>
      <c r="E253" s="41"/>
      <c r="F253" s="5"/>
      <c r="G253" s="5"/>
      <c r="H253" s="5"/>
      <c r="I253" s="5"/>
      <c r="J253" s="5"/>
    </row>
    <row r="254" spans="2:10" x14ac:dyDescent="0.2">
      <c r="E254" s="7"/>
      <c r="F254" s="24"/>
      <c r="G254" s="24"/>
      <c r="H254" s="24"/>
      <c r="I254" s="24"/>
      <c r="J254" s="24"/>
    </row>
    <row r="255" spans="2:10" x14ac:dyDescent="0.2">
      <c r="E255" s="11"/>
      <c r="F255" s="10"/>
      <c r="G255" s="26" t="s">
        <v>322</v>
      </c>
      <c r="H255" s="10"/>
      <c r="I255" s="10"/>
      <c r="J255" s="10"/>
    </row>
    <row r="256" spans="2:10" x14ac:dyDescent="0.2">
      <c r="E256" s="7"/>
      <c r="F256" s="7"/>
      <c r="G256" s="7"/>
      <c r="H256" s="8" t="s">
        <v>256</v>
      </c>
      <c r="I256" s="8" t="s">
        <v>257</v>
      </c>
      <c r="J256" s="8" t="s">
        <v>279</v>
      </c>
    </row>
    <row r="257" spans="2:10" x14ac:dyDescent="0.2">
      <c r="B257" s="10"/>
      <c r="C257" s="10"/>
      <c r="D257" s="10"/>
      <c r="E257" s="12" t="s">
        <v>258</v>
      </c>
      <c r="F257" s="12" t="s">
        <v>259</v>
      </c>
      <c r="G257" s="12" t="s">
        <v>6</v>
      </c>
      <c r="H257" s="35" t="s">
        <v>11</v>
      </c>
      <c r="I257" s="35" t="s">
        <v>260</v>
      </c>
      <c r="J257" s="35" t="s">
        <v>261</v>
      </c>
    </row>
    <row r="258" spans="2:10" x14ac:dyDescent="0.2">
      <c r="E258" s="7"/>
      <c r="F258" s="13" t="s">
        <v>14</v>
      </c>
      <c r="G258" s="13" t="s">
        <v>280</v>
      </c>
      <c r="H258" s="13" t="s">
        <v>280</v>
      </c>
      <c r="I258" s="13" t="s">
        <v>280</v>
      </c>
      <c r="J258" s="13" t="s">
        <v>280</v>
      </c>
    </row>
    <row r="259" spans="2:10" x14ac:dyDescent="0.2">
      <c r="C259" s="1" t="s">
        <v>281</v>
      </c>
      <c r="E259" s="16">
        <v>427</v>
      </c>
      <c r="F259" s="3">
        <v>3940</v>
      </c>
      <c r="G259" s="3">
        <v>7737</v>
      </c>
      <c r="H259" s="3">
        <v>22709</v>
      </c>
      <c r="I259" s="3">
        <v>39121</v>
      </c>
      <c r="J259" s="3">
        <v>15874</v>
      </c>
    </row>
    <row r="260" spans="2:10" x14ac:dyDescent="0.2">
      <c r="C260" s="1" t="s">
        <v>282</v>
      </c>
      <c r="E260" s="16">
        <v>406</v>
      </c>
      <c r="F260" s="3">
        <v>3790</v>
      </c>
      <c r="G260" s="3">
        <v>7761</v>
      </c>
      <c r="H260" s="3">
        <v>21208</v>
      </c>
      <c r="I260" s="3">
        <v>38200</v>
      </c>
      <c r="J260" s="3">
        <v>16525</v>
      </c>
    </row>
    <row r="261" spans="2:10" x14ac:dyDescent="0.2">
      <c r="C261" s="1" t="s">
        <v>283</v>
      </c>
      <c r="E261" s="16">
        <v>394</v>
      </c>
      <c r="F261" s="3">
        <v>3708</v>
      </c>
      <c r="G261" s="3">
        <v>7868</v>
      </c>
      <c r="H261" s="3">
        <v>21874</v>
      </c>
      <c r="I261" s="3">
        <v>38631</v>
      </c>
      <c r="J261" s="3">
        <v>16346</v>
      </c>
    </row>
    <row r="262" spans="2:10" x14ac:dyDescent="0.2">
      <c r="C262" s="1" t="s">
        <v>284</v>
      </c>
      <c r="E262" s="16">
        <v>367</v>
      </c>
      <c r="F262" s="3">
        <v>3530</v>
      </c>
      <c r="G262" s="3">
        <v>7688</v>
      </c>
      <c r="H262" s="3">
        <v>20094</v>
      </c>
      <c r="I262" s="3">
        <v>36645</v>
      </c>
      <c r="J262" s="3">
        <v>16330</v>
      </c>
    </row>
    <row r="263" spans="2:10" x14ac:dyDescent="0.2">
      <c r="C263" s="1" t="s">
        <v>285</v>
      </c>
      <c r="E263" s="16">
        <v>362</v>
      </c>
      <c r="F263" s="3">
        <v>3316</v>
      </c>
      <c r="G263" s="3">
        <v>7871</v>
      </c>
      <c r="H263" s="3">
        <v>20131</v>
      </c>
      <c r="I263" s="3">
        <v>36306</v>
      </c>
      <c r="J263" s="3">
        <v>15742</v>
      </c>
    </row>
    <row r="264" spans="2:10" x14ac:dyDescent="0.2">
      <c r="C264" s="1" t="s">
        <v>286</v>
      </c>
      <c r="E264" s="16">
        <v>364</v>
      </c>
      <c r="F264" s="3">
        <v>3417</v>
      </c>
      <c r="G264" s="3">
        <v>8216</v>
      </c>
      <c r="H264" s="3">
        <v>18854</v>
      </c>
      <c r="I264" s="3">
        <v>37470</v>
      </c>
      <c r="J264" s="3">
        <v>18200</v>
      </c>
    </row>
    <row r="265" spans="2:10" x14ac:dyDescent="0.2">
      <c r="C265" s="1"/>
      <c r="E265" s="16"/>
      <c r="F265" s="3"/>
      <c r="G265" s="3"/>
      <c r="H265" s="3"/>
      <c r="I265" s="3"/>
      <c r="J265" s="3"/>
    </row>
    <row r="266" spans="2:10" x14ac:dyDescent="0.2">
      <c r="C266" s="1" t="s">
        <v>287</v>
      </c>
      <c r="E266" s="16">
        <v>372</v>
      </c>
      <c r="F266" s="3">
        <v>3529</v>
      </c>
      <c r="G266" s="3">
        <v>8516</v>
      </c>
      <c r="H266" s="3">
        <v>21812</v>
      </c>
      <c r="I266" s="3">
        <v>38979</v>
      </c>
      <c r="J266" s="3">
        <v>16757</v>
      </c>
    </row>
    <row r="267" spans="2:10" x14ac:dyDescent="0.2">
      <c r="C267" s="1" t="s">
        <v>288</v>
      </c>
      <c r="E267" s="16">
        <v>368</v>
      </c>
      <c r="F267" s="3">
        <v>3566</v>
      </c>
      <c r="G267" s="3">
        <v>8820</v>
      </c>
      <c r="H267" s="3">
        <v>20911</v>
      </c>
      <c r="I267" s="3">
        <v>40909</v>
      </c>
      <c r="J267" s="3">
        <v>20002</v>
      </c>
    </row>
    <row r="268" spans="2:10" x14ac:dyDescent="0.2">
      <c r="C268" s="1" t="s">
        <v>289</v>
      </c>
      <c r="E268" s="16">
        <v>356</v>
      </c>
      <c r="F268" s="3">
        <v>3662</v>
      </c>
      <c r="G268" s="3">
        <v>9552</v>
      </c>
      <c r="H268" s="3">
        <v>23375</v>
      </c>
      <c r="I268" s="3">
        <v>44480</v>
      </c>
      <c r="J268" s="3">
        <v>20409</v>
      </c>
    </row>
    <row r="269" spans="2:10" x14ac:dyDescent="0.2">
      <c r="C269" s="1" t="s">
        <v>290</v>
      </c>
      <c r="E269" s="16">
        <v>360</v>
      </c>
      <c r="F269" s="3">
        <v>3568</v>
      </c>
      <c r="G269" s="3">
        <v>9534</v>
      </c>
      <c r="H269" s="3">
        <v>23699</v>
      </c>
      <c r="I269" s="3">
        <v>44929</v>
      </c>
      <c r="J269" s="3">
        <v>19899</v>
      </c>
    </row>
    <row r="270" spans="2:10" x14ac:dyDescent="0.2">
      <c r="C270" s="1" t="s">
        <v>291</v>
      </c>
      <c r="E270" s="16">
        <v>345</v>
      </c>
      <c r="F270" s="3">
        <v>3385</v>
      </c>
      <c r="G270" s="3">
        <v>9932</v>
      </c>
      <c r="H270" s="3">
        <v>23831</v>
      </c>
      <c r="I270" s="3">
        <v>46787</v>
      </c>
      <c r="J270" s="3">
        <v>22041</v>
      </c>
    </row>
    <row r="271" spans="2:10" x14ac:dyDescent="0.2">
      <c r="C271" s="1" t="s">
        <v>292</v>
      </c>
      <c r="E271" s="16">
        <v>334</v>
      </c>
      <c r="F271" s="3">
        <v>3338</v>
      </c>
      <c r="G271" s="3">
        <v>10093</v>
      </c>
      <c r="H271" s="3">
        <v>23630</v>
      </c>
      <c r="I271" s="3">
        <f>45335-0.2</f>
        <v>45334.8</v>
      </c>
      <c r="J271" s="3">
        <v>20754</v>
      </c>
    </row>
    <row r="272" spans="2:10" x14ac:dyDescent="0.2">
      <c r="C272" s="1"/>
      <c r="E272" s="16"/>
      <c r="F272" s="3"/>
      <c r="G272" s="3"/>
      <c r="H272" s="3"/>
      <c r="I272" s="3"/>
      <c r="J272" s="3"/>
    </row>
    <row r="273" spans="1:10" x14ac:dyDescent="0.2">
      <c r="C273" s="1" t="s">
        <v>293</v>
      </c>
      <c r="E273" s="16">
        <v>321</v>
      </c>
      <c r="F273" s="3">
        <v>3201</v>
      </c>
      <c r="G273" s="3">
        <v>9548</v>
      </c>
      <c r="H273" s="3">
        <v>22961</v>
      </c>
      <c r="I273" s="3">
        <v>43462</v>
      </c>
      <c r="J273" s="3">
        <f>19308+0.2</f>
        <v>19308.2</v>
      </c>
    </row>
    <row r="274" spans="1:10" x14ac:dyDescent="0.2">
      <c r="C274" s="1" t="s">
        <v>294</v>
      </c>
      <c r="E274" s="16">
        <v>307</v>
      </c>
      <c r="F274" s="3">
        <v>3075</v>
      </c>
      <c r="G274" s="3">
        <v>9659</v>
      </c>
      <c r="H274" s="3">
        <v>22532</v>
      </c>
      <c r="I274" s="3">
        <v>43095</v>
      </c>
      <c r="J274" s="3">
        <v>19516</v>
      </c>
    </row>
    <row r="275" spans="1:10" x14ac:dyDescent="0.2">
      <c r="C275" s="1" t="s">
        <v>295</v>
      </c>
      <c r="E275" s="16">
        <v>293</v>
      </c>
      <c r="F275" s="3">
        <v>3090</v>
      </c>
      <c r="G275" s="3">
        <v>9729</v>
      </c>
      <c r="H275" s="3">
        <v>25179</v>
      </c>
      <c r="I275" s="3">
        <f>47102-0.4</f>
        <v>47101.599999999999</v>
      </c>
      <c r="J275" s="3">
        <v>21042</v>
      </c>
    </row>
    <row r="276" spans="1:10" x14ac:dyDescent="0.2">
      <c r="C276" s="1" t="s">
        <v>296</v>
      </c>
      <c r="E276" s="16">
        <v>290</v>
      </c>
      <c r="F276" s="3">
        <v>3262</v>
      </c>
      <c r="G276" s="3">
        <v>10755</v>
      </c>
      <c r="H276" s="3">
        <v>26425</v>
      </c>
      <c r="I276" s="3">
        <v>50465</v>
      </c>
      <c r="J276" s="3">
        <v>22706</v>
      </c>
    </row>
    <row r="277" spans="1:10" x14ac:dyDescent="0.2">
      <c r="C277" s="1" t="s">
        <v>297</v>
      </c>
      <c r="E277" s="16">
        <v>279</v>
      </c>
      <c r="F277" s="3">
        <v>3112</v>
      </c>
      <c r="G277" s="3">
        <v>10918</v>
      </c>
      <c r="H277" s="3">
        <v>27323</v>
      </c>
      <c r="I277" s="3">
        <v>51197</v>
      </c>
      <c r="J277" s="3">
        <v>22429</v>
      </c>
    </row>
    <row r="278" spans="1:10" x14ac:dyDescent="0.2">
      <c r="C278" s="1" t="s">
        <v>298</v>
      </c>
      <c r="E278" s="16">
        <v>254</v>
      </c>
      <c r="F278" s="3">
        <v>2677</v>
      </c>
      <c r="G278" s="3">
        <v>8992</v>
      </c>
      <c r="H278" s="3">
        <v>18888</v>
      </c>
      <c r="I278" s="3">
        <v>36198</v>
      </c>
      <c r="J278" s="3">
        <v>16171</v>
      </c>
    </row>
    <row r="279" spans="1:10" x14ac:dyDescent="0.2">
      <c r="C279" s="1"/>
      <c r="E279" s="16"/>
      <c r="F279" s="3"/>
      <c r="G279" s="3"/>
      <c r="H279" s="3"/>
      <c r="I279" s="3"/>
      <c r="J279" s="3"/>
    </row>
    <row r="280" spans="1:10" x14ac:dyDescent="0.2">
      <c r="C280" s="1" t="s">
        <v>307</v>
      </c>
      <c r="D280" s="15"/>
      <c r="E280" s="16">
        <v>249</v>
      </c>
      <c r="F280" s="3">
        <v>2573</v>
      </c>
      <c r="G280" s="3">
        <v>8406</v>
      </c>
      <c r="H280" s="3">
        <v>17432</v>
      </c>
      <c r="I280" s="3">
        <v>32995</v>
      </c>
      <c r="J280" s="3">
        <v>14533</v>
      </c>
    </row>
    <row r="281" spans="1:10" x14ac:dyDescent="0.2">
      <c r="C281" s="1" t="s">
        <v>308</v>
      </c>
      <c r="D281" s="80"/>
      <c r="E281" s="16">
        <v>233</v>
      </c>
      <c r="F281" s="3">
        <v>2432</v>
      </c>
      <c r="G281" s="3">
        <v>8057</v>
      </c>
      <c r="H281" s="3">
        <v>15980</v>
      </c>
      <c r="I281" s="3">
        <v>31430</v>
      </c>
      <c r="J281" s="3">
        <v>14229</v>
      </c>
    </row>
    <row r="282" spans="1:10" x14ac:dyDescent="0.2">
      <c r="C282" s="4" t="s">
        <v>309</v>
      </c>
      <c r="D282" s="80"/>
      <c r="E282" s="88">
        <v>237</v>
      </c>
      <c r="F282" s="39">
        <v>2426</v>
      </c>
      <c r="G282" s="39">
        <v>7507</v>
      </c>
      <c r="H282" s="39">
        <v>16093</v>
      </c>
      <c r="I282" s="39">
        <v>31061</v>
      </c>
      <c r="J282" s="39">
        <v>14064</v>
      </c>
    </row>
    <row r="283" spans="1:10" ht="18" thickBot="1" x14ac:dyDescent="0.25">
      <c r="B283" s="5"/>
      <c r="C283" s="5"/>
      <c r="D283" s="5"/>
      <c r="E283" s="41"/>
      <c r="F283" s="5"/>
      <c r="G283" s="5"/>
      <c r="H283" s="5"/>
      <c r="I283" s="5"/>
      <c r="J283" s="5"/>
    </row>
    <row r="284" spans="1:10" x14ac:dyDescent="0.2">
      <c r="D284" s="1" t="s">
        <v>273</v>
      </c>
      <c r="E284" s="1"/>
      <c r="H284" s="1" t="s">
        <v>319</v>
      </c>
    </row>
    <row r="285" spans="1:10" x14ac:dyDescent="0.2">
      <c r="H285" s="1"/>
    </row>
    <row r="287" spans="1:10" x14ac:dyDescent="0.2">
      <c r="A287" s="1"/>
    </row>
    <row r="288" spans="1:10" x14ac:dyDescent="0.2">
      <c r="A288" s="1"/>
    </row>
    <row r="293" spans="2:10" x14ac:dyDescent="0.2">
      <c r="C293" s="15"/>
      <c r="D293" s="15"/>
      <c r="E293" s="15"/>
      <c r="F293" s="4" t="s">
        <v>303</v>
      </c>
    </row>
    <row r="294" spans="2:10" x14ac:dyDescent="0.2">
      <c r="F294" s="1" t="s">
        <v>304</v>
      </c>
    </row>
    <row r="295" spans="2:10" ht="18" thickBot="1" x14ac:dyDescent="0.25">
      <c r="B295" s="5"/>
      <c r="C295" s="5"/>
      <c r="D295" s="5"/>
      <c r="E295" s="5"/>
      <c r="F295" s="6" t="s">
        <v>320</v>
      </c>
      <c r="G295" s="5"/>
      <c r="H295" s="5"/>
      <c r="I295" s="5"/>
      <c r="J295" s="5"/>
    </row>
    <row r="296" spans="2:10" x14ac:dyDescent="0.2">
      <c r="E296" s="7"/>
      <c r="F296" s="24"/>
      <c r="G296" s="24"/>
      <c r="H296" s="24"/>
      <c r="I296" s="24"/>
      <c r="J296" s="24"/>
    </row>
    <row r="297" spans="2:10" x14ac:dyDescent="0.2">
      <c r="E297" s="11"/>
      <c r="F297" s="10"/>
      <c r="G297" s="26" t="s">
        <v>323</v>
      </c>
      <c r="H297" s="10"/>
      <c r="I297" s="10"/>
      <c r="J297" s="10"/>
    </row>
    <row r="298" spans="2:10" x14ac:dyDescent="0.2">
      <c r="E298" s="7"/>
      <c r="F298" s="7"/>
      <c r="G298" s="7"/>
      <c r="H298" s="8" t="s">
        <v>256</v>
      </c>
      <c r="I298" s="8" t="s">
        <v>257</v>
      </c>
      <c r="J298" s="8" t="s">
        <v>279</v>
      </c>
    </row>
    <row r="299" spans="2:10" x14ac:dyDescent="0.2">
      <c r="B299" s="10"/>
      <c r="C299" s="10"/>
      <c r="D299" s="10"/>
      <c r="E299" s="12" t="s">
        <v>258</v>
      </c>
      <c r="F299" s="12" t="s">
        <v>259</v>
      </c>
      <c r="G299" s="12" t="s">
        <v>6</v>
      </c>
      <c r="H299" s="35" t="s">
        <v>11</v>
      </c>
      <c r="I299" s="35" t="s">
        <v>260</v>
      </c>
      <c r="J299" s="35" t="s">
        <v>261</v>
      </c>
    </row>
    <row r="300" spans="2:10" x14ac:dyDescent="0.2">
      <c r="E300" s="7"/>
      <c r="F300" s="13" t="s">
        <v>14</v>
      </c>
      <c r="G300" s="13" t="s">
        <v>280</v>
      </c>
      <c r="H300" s="13" t="s">
        <v>280</v>
      </c>
      <c r="I300" s="13" t="s">
        <v>280</v>
      </c>
      <c r="J300" s="13" t="s">
        <v>280</v>
      </c>
    </row>
    <row r="301" spans="2:10" x14ac:dyDescent="0.2">
      <c r="C301" s="1" t="s">
        <v>281</v>
      </c>
      <c r="E301" s="16">
        <v>70</v>
      </c>
      <c r="F301" s="3">
        <v>1694</v>
      </c>
      <c r="G301" s="3">
        <v>5464</v>
      </c>
      <c r="H301" s="3">
        <v>20645</v>
      </c>
      <c r="I301" s="3">
        <v>29018</v>
      </c>
      <c r="J301" s="3">
        <v>7456</v>
      </c>
    </row>
    <row r="302" spans="2:10" x14ac:dyDescent="0.2">
      <c r="C302" s="1" t="s">
        <v>282</v>
      </c>
      <c r="E302" s="16">
        <v>70</v>
      </c>
      <c r="F302" s="3">
        <v>1679</v>
      </c>
      <c r="G302" s="3">
        <v>5417</v>
      </c>
      <c r="H302" s="3">
        <v>19908</v>
      </c>
      <c r="I302" s="3">
        <v>30888</v>
      </c>
      <c r="J302" s="3">
        <v>10280</v>
      </c>
    </row>
    <row r="303" spans="2:10" x14ac:dyDescent="0.2">
      <c r="C303" s="1" t="s">
        <v>283</v>
      </c>
      <c r="E303" s="16">
        <v>67</v>
      </c>
      <c r="F303" s="3">
        <v>1568</v>
      </c>
      <c r="G303" s="3">
        <v>5119</v>
      </c>
      <c r="H303" s="3">
        <v>19189</v>
      </c>
      <c r="I303" s="3">
        <v>28828</v>
      </c>
      <c r="J303" s="3">
        <v>8968</v>
      </c>
    </row>
    <row r="304" spans="2:10" x14ac:dyDescent="0.2">
      <c r="C304" s="1" t="s">
        <v>284</v>
      </c>
      <c r="E304" s="16">
        <v>65</v>
      </c>
      <c r="F304" s="3">
        <v>1453</v>
      </c>
      <c r="G304" s="3">
        <v>4752</v>
      </c>
      <c r="H304" s="3">
        <v>18111</v>
      </c>
      <c r="I304" s="3">
        <v>27292</v>
      </c>
      <c r="J304" s="3">
        <v>8825</v>
      </c>
    </row>
    <row r="305" spans="3:10" x14ac:dyDescent="0.2">
      <c r="C305" s="1" t="s">
        <v>285</v>
      </c>
      <c r="E305" s="16">
        <v>64</v>
      </c>
      <c r="F305" s="3">
        <v>1522</v>
      </c>
      <c r="G305" s="3">
        <v>5638</v>
      </c>
      <c r="H305" s="3">
        <v>19887</v>
      </c>
      <c r="I305" s="3">
        <v>30035</v>
      </c>
      <c r="J305" s="3">
        <v>9599</v>
      </c>
    </row>
    <row r="306" spans="3:10" x14ac:dyDescent="0.2">
      <c r="C306" s="1" t="s">
        <v>286</v>
      </c>
      <c r="E306" s="16">
        <v>66</v>
      </c>
      <c r="F306" s="3">
        <v>1543</v>
      </c>
      <c r="G306" s="3">
        <v>5882</v>
      </c>
      <c r="H306" s="3">
        <v>20482</v>
      </c>
      <c r="I306" s="3">
        <v>29148</v>
      </c>
      <c r="J306" s="3">
        <v>8526</v>
      </c>
    </row>
    <row r="307" spans="3:10" x14ac:dyDescent="0.2">
      <c r="C307" s="1"/>
      <c r="E307" s="16"/>
      <c r="F307" s="3"/>
      <c r="G307" s="3"/>
      <c r="H307" s="3"/>
      <c r="I307" s="3"/>
      <c r="J307" s="3"/>
    </row>
    <row r="308" spans="3:10" x14ac:dyDescent="0.2">
      <c r="C308" s="1" t="s">
        <v>287</v>
      </c>
      <c r="E308" s="16">
        <v>61</v>
      </c>
      <c r="F308" s="3">
        <v>1407</v>
      </c>
      <c r="G308" s="3">
        <v>5260</v>
      </c>
      <c r="H308" s="3">
        <v>16192</v>
      </c>
      <c r="I308" s="3">
        <v>25802</v>
      </c>
      <c r="J308" s="3">
        <v>8371</v>
      </c>
    </row>
    <row r="309" spans="3:10" x14ac:dyDescent="0.2">
      <c r="C309" s="1" t="s">
        <v>288</v>
      </c>
      <c r="E309" s="16">
        <v>61</v>
      </c>
      <c r="F309" s="3">
        <v>1323</v>
      </c>
      <c r="G309" s="3">
        <v>5421</v>
      </c>
      <c r="H309" s="3">
        <v>15426</v>
      </c>
      <c r="I309" s="3">
        <v>26251</v>
      </c>
      <c r="J309" s="3">
        <v>10119</v>
      </c>
    </row>
    <row r="310" spans="3:10" x14ac:dyDescent="0.2">
      <c r="C310" s="1" t="s">
        <v>289</v>
      </c>
      <c r="E310" s="16">
        <v>61</v>
      </c>
      <c r="F310" s="3">
        <v>1257</v>
      </c>
      <c r="G310" s="3">
        <v>5209</v>
      </c>
      <c r="H310" s="3">
        <v>15808</v>
      </c>
      <c r="I310" s="3">
        <v>26749</v>
      </c>
      <c r="J310" s="3">
        <v>9694</v>
      </c>
    </row>
    <row r="311" spans="3:10" x14ac:dyDescent="0.2">
      <c r="C311" s="1" t="s">
        <v>290</v>
      </c>
      <c r="E311" s="16">
        <v>58</v>
      </c>
      <c r="F311" s="3">
        <v>1253</v>
      </c>
      <c r="G311" s="3">
        <v>5500</v>
      </c>
      <c r="H311" s="3">
        <v>16296</v>
      </c>
      <c r="I311" s="3">
        <v>26017</v>
      </c>
      <c r="J311" s="3">
        <v>9069</v>
      </c>
    </row>
    <row r="312" spans="3:10" x14ac:dyDescent="0.2">
      <c r="C312" s="1" t="s">
        <v>291</v>
      </c>
      <c r="E312" s="16">
        <v>55</v>
      </c>
      <c r="F312" s="3">
        <v>1236</v>
      </c>
      <c r="G312" s="3">
        <v>5383</v>
      </c>
      <c r="H312" s="3">
        <v>17699</v>
      </c>
      <c r="I312" s="3">
        <v>28076</v>
      </c>
      <c r="J312" s="3">
        <v>9983</v>
      </c>
    </row>
    <row r="313" spans="3:10" x14ac:dyDescent="0.2">
      <c r="C313" s="1" t="s">
        <v>292</v>
      </c>
      <c r="E313" s="16">
        <v>54</v>
      </c>
      <c r="F313" s="3">
        <v>1191</v>
      </c>
      <c r="G313" s="3">
        <v>5672</v>
      </c>
      <c r="H313" s="3">
        <v>17148</v>
      </c>
      <c r="I313" s="3">
        <v>28097</v>
      </c>
      <c r="J313" s="3">
        <v>9422</v>
      </c>
    </row>
    <row r="314" spans="3:10" x14ac:dyDescent="0.2">
      <c r="C314" s="1"/>
      <c r="E314" s="16"/>
      <c r="F314" s="3"/>
      <c r="G314" s="3"/>
      <c r="H314" s="3"/>
      <c r="I314" s="3"/>
      <c r="J314" s="3"/>
    </row>
    <row r="315" spans="3:10" x14ac:dyDescent="0.2">
      <c r="C315" s="1" t="s">
        <v>293</v>
      </c>
      <c r="E315" s="16">
        <v>56</v>
      </c>
      <c r="F315" s="3">
        <v>1123</v>
      </c>
      <c r="G315" s="3">
        <v>5940</v>
      </c>
      <c r="H315" s="3">
        <v>15625</v>
      </c>
      <c r="I315" s="3">
        <v>25188</v>
      </c>
      <c r="J315" s="3">
        <v>8232</v>
      </c>
    </row>
    <row r="316" spans="3:10" x14ac:dyDescent="0.2">
      <c r="C316" s="1" t="s">
        <v>294</v>
      </c>
      <c r="E316" s="16">
        <v>54</v>
      </c>
      <c r="F316" s="3">
        <v>1162</v>
      </c>
      <c r="G316" s="3">
        <v>5438</v>
      </c>
      <c r="H316" s="3">
        <v>19279</v>
      </c>
      <c r="I316" s="3">
        <v>30534</v>
      </c>
      <c r="J316" s="3">
        <v>9240</v>
      </c>
    </row>
    <row r="317" spans="3:10" x14ac:dyDescent="0.2">
      <c r="C317" s="1" t="s">
        <v>295</v>
      </c>
      <c r="E317" s="16">
        <v>52</v>
      </c>
      <c r="F317" s="3">
        <v>906</v>
      </c>
      <c r="G317" s="3">
        <v>4074</v>
      </c>
      <c r="H317" s="3">
        <v>15193</v>
      </c>
      <c r="I317" s="3">
        <f>21840-0.4</f>
        <v>21839.599999999999</v>
      </c>
      <c r="J317" s="3">
        <v>5305</v>
      </c>
    </row>
    <row r="318" spans="3:10" x14ac:dyDescent="0.2">
      <c r="C318" s="1" t="s">
        <v>296</v>
      </c>
      <c r="E318" s="16">
        <v>57</v>
      </c>
      <c r="F318" s="3">
        <v>1046</v>
      </c>
      <c r="G318" s="3">
        <v>4906</v>
      </c>
      <c r="H318" s="3">
        <v>14491</v>
      </c>
      <c r="I318" s="3">
        <v>25881</v>
      </c>
      <c r="J318" s="3">
        <v>9937</v>
      </c>
    </row>
    <row r="319" spans="3:10" x14ac:dyDescent="0.2">
      <c r="C319" s="1" t="s">
        <v>297</v>
      </c>
      <c r="E319" s="16">
        <v>52</v>
      </c>
      <c r="F319" s="3">
        <v>988</v>
      </c>
      <c r="G319" s="3">
        <v>4725</v>
      </c>
      <c r="H319" s="3">
        <v>14152</v>
      </c>
      <c r="I319" s="3">
        <v>26695</v>
      </c>
      <c r="J319" s="3">
        <v>10739</v>
      </c>
    </row>
    <row r="320" spans="3:10" x14ac:dyDescent="0.2">
      <c r="C320" s="1" t="s">
        <v>298</v>
      </c>
      <c r="E320" s="16">
        <v>58</v>
      </c>
      <c r="F320" s="3">
        <v>904</v>
      </c>
      <c r="G320" s="3">
        <v>3941</v>
      </c>
      <c r="H320" s="3">
        <v>10715</v>
      </c>
      <c r="I320" s="3">
        <v>19375</v>
      </c>
      <c r="J320" s="3">
        <v>7546</v>
      </c>
    </row>
    <row r="321" spans="2:10" x14ac:dyDescent="0.2">
      <c r="C321" s="1"/>
      <c r="E321" s="16"/>
      <c r="F321" s="3"/>
      <c r="G321" s="3"/>
      <c r="H321" s="3"/>
      <c r="I321" s="3"/>
      <c r="J321" s="3"/>
    </row>
    <row r="322" spans="2:10" x14ac:dyDescent="0.2">
      <c r="C322" s="1" t="s">
        <v>307</v>
      </c>
      <c r="D322" s="15"/>
      <c r="E322" s="16">
        <v>59</v>
      </c>
      <c r="F322" s="3">
        <v>1174</v>
      </c>
      <c r="G322" s="3">
        <v>5176</v>
      </c>
      <c r="H322" s="3">
        <v>14016</v>
      </c>
      <c r="I322" s="3">
        <v>25103</v>
      </c>
      <c r="J322" s="3">
        <v>9212</v>
      </c>
    </row>
    <row r="323" spans="2:10" x14ac:dyDescent="0.2">
      <c r="C323" s="1" t="s">
        <v>308</v>
      </c>
      <c r="D323" s="80"/>
      <c r="E323" s="16">
        <v>53</v>
      </c>
      <c r="F323" s="3">
        <v>1038</v>
      </c>
      <c r="G323" s="3">
        <v>4551</v>
      </c>
      <c r="H323" s="3">
        <v>13679</v>
      </c>
      <c r="I323" s="3">
        <v>23753</v>
      </c>
      <c r="J323" s="3">
        <v>8518</v>
      </c>
    </row>
    <row r="324" spans="2:10" x14ac:dyDescent="0.2">
      <c r="C324" s="4" t="s">
        <v>309</v>
      </c>
      <c r="D324" s="15"/>
      <c r="E324" s="88">
        <v>51</v>
      </c>
      <c r="F324" s="39">
        <v>1071</v>
      </c>
      <c r="G324" s="39">
        <v>4384</v>
      </c>
      <c r="H324" s="39">
        <v>12915</v>
      </c>
      <c r="I324" s="39">
        <v>22663</v>
      </c>
      <c r="J324" s="39">
        <v>8175</v>
      </c>
    </row>
    <row r="325" spans="2:10" ht="18" thickBot="1" x14ac:dyDescent="0.25">
      <c r="B325" s="5"/>
      <c r="C325" s="5"/>
      <c r="D325" s="5"/>
      <c r="E325" s="41"/>
      <c r="F325" s="5"/>
      <c r="G325" s="5"/>
      <c r="H325" s="5"/>
      <c r="I325" s="5"/>
      <c r="J325" s="5"/>
    </row>
    <row r="326" spans="2:10" x14ac:dyDescent="0.2">
      <c r="E326" s="7"/>
      <c r="F326" s="24"/>
      <c r="G326" s="24"/>
      <c r="H326" s="24"/>
      <c r="I326" s="24"/>
      <c r="J326" s="24"/>
    </row>
    <row r="327" spans="2:10" x14ac:dyDescent="0.2">
      <c r="E327" s="11"/>
      <c r="F327" s="10"/>
      <c r="G327" s="26" t="s">
        <v>324</v>
      </c>
      <c r="H327" s="10"/>
      <c r="I327" s="10"/>
      <c r="J327" s="10"/>
    </row>
    <row r="328" spans="2:10" x14ac:dyDescent="0.2">
      <c r="E328" s="7"/>
      <c r="F328" s="7"/>
      <c r="G328" s="7"/>
      <c r="H328" s="8" t="s">
        <v>256</v>
      </c>
      <c r="I328" s="8" t="s">
        <v>257</v>
      </c>
      <c r="J328" s="8" t="s">
        <v>279</v>
      </c>
    </row>
    <row r="329" spans="2:10" x14ac:dyDescent="0.2">
      <c r="B329" s="10"/>
      <c r="C329" s="10"/>
      <c r="D329" s="10"/>
      <c r="E329" s="12" t="s">
        <v>258</v>
      </c>
      <c r="F329" s="12" t="s">
        <v>259</v>
      </c>
      <c r="G329" s="12" t="s">
        <v>6</v>
      </c>
      <c r="H329" s="35" t="s">
        <v>11</v>
      </c>
      <c r="I329" s="35" t="s">
        <v>260</v>
      </c>
      <c r="J329" s="35" t="s">
        <v>261</v>
      </c>
    </row>
    <row r="330" spans="2:10" x14ac:dyDescent="0.2">
      <c r="E330" s="7"/>
      <c r="F330" s="13" t="s">
        <v>14</v>
      </c>
      <c r="G330" s="13" t="s">
        <v>280</v>
      </c>
      <c r="H330" s="13" t="s">
        <v>280</v>
      </c>
      <c r="I330" s="13" t="s">
        <v>280</v>
      </c>
      <c r="J330" s="13" t="s">
        <v>280</v>
      </c>
    </row>
    <row r="331" spans="2:10" x14ac:dyDescent="0.2">
      <c r="C331" s="1" t="s">
        <v>281</v>
      </c>
      <c r="E331" s="16">
        <v>157</v>
      </c>
      <c r="F331" s="3">
        <v>1755</v>
      </c>
      <c r="G331" s="3">
        <v>3705</v>
      </c>
      <c r="H331" s="3">
        <v>5362</v>
      </c>
      <c r="I331" s="3">
        <v>12472</v>
      </c>
      <c r="J331" s="3">
        <v>6833</v>
      </c>
    </row>
    <row r="332" spans="2:10" x14ac:dyDescent="0.2">
      <c r="C332" s="1" t="s">
        <v>282</v>
      </c>
      <c r="E332" s="16">
        <v>163</v>
      </c>
      <c r="F332" s="3">
        <v>1719</v>
      </c>
      <c r="G332" s="3">
        <v>3713</v>
      </c>
      <c r="H332" s="3">
        <v>5661</v>
      </c>
      <c r="I332" s="3">
        <v>13013</v>
      </c>
      <c r="J332" s="3">
        <v>7068</v>
      </c>
    </row>
    <row r="333" spans="2:10" x14ac:dyDescent="0.2">
      <c r="C333" s="1" t="s">
        <v>283</v>
      </c>
      <c r="E333" s="16">
        <v>168</v>
      </c>
      <c r="F333" s="3">
        <v>1716</v>
      </c>
      <c r="G333" s="3">
        <v>3927</v>
      </c>
      <c r="H333" s="3">
        <v>6081</v>
      </c>
      <c r="I333" s="3">
        <v>14146</v>
      </c>
      <c r="J333" s="3">
        <v>7805</v>
      </c>
    </row>
    <row r="334" spans="2:10" x14ac:dyDescent="0.2">
      <c r="C334" s="1" t="s">
        <v>284</v>
      </c>
      <c r="E334" s="16">
        <v>157</v>
      </c>
      <c r="F334" s="3">
        <v>1615</v>
      </c>
      <c r="G334" s="3">
        <v>3824</v>
      </c>
      <c r="H334" s="3">
        <v>6272</v>
      </c>
      <c r="I334" s="3">
        <v>15180</v>
      </c>
      <c r="J334" s="3">
        <v>8639</v>
      </c>
    </row>
    <row r="335" spans="2:10" x14ac:dyDescent="0.2">
      <c r="C335" s="1" t="s">
        <v>285</v>
      </c>
      <c r="E335" s="16">
        <v>163</v>
      </c>
      <c r="F335" s="3">
        <v>1672</v>
      </c>
      <c r="G335" s="3">
        <v>4128</v>
      </c>
      <c r="H335" s="3">
        <v>6307</v>
      </c>
      <c r="I335" s="3">
        <v>14357</v>
      </c>
      <c r="J335" s="3">
        <v>7808</v>
      </c>
    </row>
    <row r="336" spans="2:10" x14ac:dyDescent="0.2">
      <c r="C336" s="1" t="s">
        <v>286</v>
      </c>
      <c r="E336" s="16">
        <v>161</v>
      </c>
      <c r="F336" s="3">
        <v>1729</v>
      </c>
      <c r="G336" s="3">
        <v>4404</v>
      </c>
      <c r="H336" s="3">
        <v>6654</v>
      </c>
      <c r="I336" s="3">
        <v>15142</v>
      </c>
      <c r="J336" s="3">
        <v>8170</v>
      </c>
    </row>
    <row r="337" spans="3:10" x14ac:dyDescent="0.2">
      <c r="C337" s="1"/>
      <c r="E337" s="16"/>
      <c r="F337" s="3"/>
      <c r="G337" s="3"/>
      <c r="H337" s="3"/>
      <c r="I337" s="3"/>
      <c r="J337" s="3"/>
    </row>
    <row r="338" spans="3:10" x14ac:dyDescent="0.2">
      <c r="C338" s="1" t="s">
        <v>287</v>
      </c>
      <c r="E338" s="16">
        <v>156</v>
      </c>
      <c r="F338" s="3">
        <v>1616</v>
      </c>
      <c r="G338" s="3">
        <v>4197</v>
      </c>
      <c r="H338" s="3">
        <v>6083</v>
      </c>
      <c r="I338" s="3">
        <v>14308</v>
      </c>
      <c r="J338" s="3">
        <v>7963</v>
      </c>
    </row>
    <row r="339" spans="3:10" x14ac:dyDescent="0.2">
      <c r="C339" s="1" t="s">
        <v>288</v>
      </c>
      <c r="E339" s="16">
        <v>161</v>
      </c>
      <c r="F339" s="3">
        <v>1749</v>
      </c>
      <c r="G339" s="3">
        <v>4749</v>
      </c>
      <c r="H339" s="3">
        <v>6617</v>
      </c>
      <c r="I339" s="3">
        <v>16224</v>
      </c>
      <c r="J339" s="3">
        <v>9361</v>
      </c>
    </row>
    <row r="340" spans="3:10" x14ac:dyDescent="0.2">
      <c r="C340" s="1" t="s">
        <v>289</v>
      </c>
      <c r="E340" s="16">
        <v>150</v>
      </c>
      <c r="F340" s="3">
        <v>1706</v>
      </c>
      <c r="G340" s="3">
        <v>4974</v>
      </c>
      <c r="H340" s="3">
        <v>7249</v>
      </c>
      <c r="I340" s="3">
        <v>17695</v>
      </c>
      <c r="J340" s="3">
        <v>10003</v>
      </c>
    </row>
    <row r="341" spans="3:10" x14ac:dyDescent="0.2">
      <c r="C341" s="1" t="s">
        <v>290</v>
      </c>
      <c r="E341" s="16">
        <v>159</v>
      </c>
      <c r="F341" s="3">
        <v>1778</v>
      </c>
      <c r="G341" s="3">
        <v>5362</v>
      </c>
      <c r="H341" s="3">
        <v>8688</v>
      </c>
      <c r="I341" s="3">
        <v>20487</v>
      </c>
      <c r="J341" s="3">
        <v>11014</v>
      </c>
    </row>
    <row r="342" spans="3:10" x14ac:dyDescent="0.2">
      <c r="C342" s="1" t="s">
        <v>291</v>
      </c>
      <c r="E342" s="16">
        <v>152</v>
      </c>
      <c r="F342" s="3">
        <v>1759</v>
      </c>
      <c r="G342" s="3">
        <v>5681</v>
      </c>
      <c r="H342" s="3">
        <v>8338</v>
      </c>
      <c r="I342" s="3">
        <v>20957</v>
      </c>
      <c r="J342" s="3">
        <v>11803</v>
      </c>
    </row>
    <row r="343" spans="3:10" x14ac:dyDescent="0.2">
      <c r="C343" s="1" t="s">
        <v>292</v>
      </c>
      <c r="E343" s="16">
        <v>143</v>
      </c>
      <c r="F343" s="3">
        <v>1695</v>
      </c>
      <c r="G343" s="3">
        <v>5553</v>
      </c>
      <c r="H343" s="3">
        <v>8565</v>
      </c>
      <c r="I343" s="3">
        <v>20856</v>
      </c>
      <c r="J343" s="3">
        <v>11388</v>
      </c>
    </row>
    <row r="344" spans="3:10" x14ac:dyDescent="0.2">
      <c r="C344" s="1"/>
      <c r="E344" s="16"/>
      <c r="F344" s="3"/>
      <c r="G344" s="3"/>
      <c r="H344" s="3"/>
      <c r="I344" s="3"/>
      <c r="J344" s="3"/>
    </row>
    <row r="345" spans="3:10" x14ac:dyDescent="0.2">
      <c r="C345" s="1" t="s">
        <v>293</v>
      </c>
      <c r="E345" s="16">
        <v>140</v>
      </c>
      <c r="F345" s="3">
        <v>1715</v>
      </c>
      <c r="G345" s="3">
        <v>5827</v>
      </c>
      <c r="H345" s="3">
        <v>8133</v>
      </c>
      <c r="I345" s="3">
        <v>20792</v>
      </c>
      <c r="J345" s="3">
        <v>11634</v>
      </c>
    </row>
    <row r="346" spans="3:10" x14ac:dyDescent="0.2">
      <c r="C346" s="1" t="s">
        <v>294</v>
      </c>
      <c r="E346" s="16">
        <v>129</v>
      </c>
      <c r="F346" s="3">
        <v>1671</v>
      </c>
      <c r="G346" s="3">
        <v>5888</v>
      </c>
      <c r="H346" s="3">
        <v>8072</v>
      </c>
      <c r="I346" s="3">
        <v>20292</v>
      </c>
      <c r="J346" s="3">
        <v>11238</v>
      </c>
    </row>
    <row r="347" spans="3:10" x14ac:dyDescent="0.2">
      <c r="C347" s="1" t="s">
        <v>295</v>
      </c>
      <c r="E347" s="16">
        <v>149</v>
      </c>
      <c r="F347" s="3">
        <v>1861</v>
      </c>
      <c r="G347" s="3">
        <v>6617</v>
      </c>
      <c r="H347" s="3">
        <v>8380</v>
      </c>
      <c r="I347" s="3">
        <v>21648</v>
      </c>
      <c r="J347" s="3">
        <v>12351</v>
      </c>
    </row>
    <row r="348" spans="3:10" x14ac:dyDescent="0.2">
      <c r="C348" s="1" t="s">
        <v>296</v>
      </c>
      <c r="E348" s="16">
        <v>142</v>
      </c>
      <c r="F348" s="3">
        <v>1797</v>
      </c>
      <c r="G348" s="3">
        <v>6623</v>
      </c>
      <c r="H348" s="3">
        <v>8567</v>
      </c>
      <c r="I348" s="3">
        <v>21381</v>
      </c>
      <c r="J348" s="3">
        <v>11974</v>
      </c>
    </row>
    <row r="349" spans="3:10" x14ac:dyDescent="0.2">
      <c r="C349" s="1" t="s">
        <v>297</v>
      </c>
      <c r="E349" s="16">
        <v>140</v>
      </c>
      <c r="F349" s="3">
        <v>1815</v>
      </c>
      <c r="G349" s="3">
        <v>6921</v>
      </c>
      <c r="H349" s="3">
        <v>9060</v>
      </c>
      <c r="I349" s="3">
        <v>22078</v>
      </c>
      <c r="J349" s="3">
        <v>12073</v>
      </c>
    </row>
    <row r="350" spans="3:10" x14ac:dyDescent="0.2">
      <c r="C350" s="1" t="s">
        <v>298</v>
      </c>
      <c r="E350" s="16">
        <v>153</v>
      </c>
      <c r="F350" s="3">
        <v>1930</v>
      </c>
      <c r="G350" s="3">
        <v>7015</v>
      </c>
      <c r="H350" s="3">
        <v>9770</v>
      </c>
      <c r="I350" s="3">
        <v>23308</v>
      </c>
      <c r="J350" s="3">
        <v>12500</v>
      </c>
    </row>
    <row r="351" spans="3:10" x14ac:dyDescent="0.2">
      <c r="C351" s="1"/>
      <c r="E351" s="16"/>
      <c r="F351" s="3"/>
      <c r="G351" s="3"/>
      <c r="H351" s="3"/>
      <c r="I351" s="3"/>
      <c r="J351" s="3"/>
    </row>
    <row r="352" spans="3:10" x14ac:dyDescent="0.2">
      <c r="C352" s="1" t="s">
        <v>307</v>
      </c>
      <c r="D352" s="15"/>
      <c r="E352" s="16">
        <v>138</v>
      </c>
      <c r="F352" s="3">
        <v>1625</v>
      </c>
      <c r="G352" s="3">
        <v>5940</v>
      </c>
      <c r="H352" s="3">
        <v>7901</v>
      </c>
      <c r="I352" s="3">
        <v>19764</v>
      </c>
      <c r="J352" s="3">
        <v>11007</v>
      </c>
    </row>
    <row r="353" spans="1:10" x14ac:dyDescent="0.2">
      <c r="C353" s="1" t="s">
        <v>308</v>
      </c>
      <c r="D353" s="80"/>
      <c r="E353" s="16">
        <v>129</v>
      </c>
      <c r="F353" s="3">
        <v>1552</v>
      </c>
      <c r="G353" s="3">
        <v>5902</v>
      </c>
      <c r="H353" s="3">
        <v>7119</v>
      </c>
      <c r="I353" s="3">
        <v>18439</v>
      </c>
      <c r="J353" s="3">
        <v>10530</v>
      </c>
    </row>
    <row r="354" spans="1:10" x14ac:dyDescent="0.2">
      <c r="C354" s="4" t="s">
        <v>309</v>
      </c>
      <c r="D354" s="80"/>
      <c r="E354" s="88">
        <v>117</v>
      </c>
      <c r="F354" s="39">
        <v>1388</v>
      </c>
      <c r="G354" s="39">
        <v>5114</v>
      </c>
      <c r="H354" s="39">
        <v>6830</v>
      </c>
      <c r="I354" s="39">
        <v>16445</v>
      </c>
      <c r="J354" s="39">
        <v>8894</v>
      </c>
    </row>
    <row r="355" spans="1:10" ht="18" thickBot="1" x14ac:dyDescent="0.25">
      <c r="B355" s="5"/>
      <c r="C355" s="5"/>
      <c r="D355" s="5"/>
      <c r="E355" s="41"/>
      <c r="F355" s="5"/>
      <c r="G355" s="5"/>
      <c r="H355" s="5"/>
      <c r="I355" s="5"/>
      <c r="J355" s="5"/>
    </row>
    <row r="356" spans="1:10" x14ac:dyDescent="0.2">
      <c r="D356" s="1" t="s">
        <v>273</v>
      </c>
      <c r="E356" s="1"/>
      <c r="H356" s="1" t="s">
        <v>319</v>
      </c>
    </row>
    <row r="357" spans="1:10" x14ac:dyDescent="0.2">
      <c r="H357" s="1"/>
    </row>
    <row r="359" spans="1:10" x14ac:dyDescent="0.2">
      <c r="A359" s="1"/>
    </row>
    <row r="360" spans="1:10" x14ac:dyDescent="0.2">
      <c r="A360" s="1"/>
    </row>
    <row r="365" spans="1:10" x14ac:dyDescent="0.2">
      <c r="C365" s="15"/>
      <c r="D365" s="15"/>
      <c r="E365" s="15"/>
      <c r="F365" s="4" t="s">
        <v>303</v>
      </c>
    </row>
    <row r="366" spans="1:10" x14ac:dyDescent="0.2">
      <c r="F366" s="1" t="s">
        <v>304</v>
      </c>
    </row>
    <row r="367" spans="1:10" ht="18" thickBot="1" x14ac:dyDescent="0.25">
      <c r="B367" s="5"/>
      <c r="C367" s="5"/>
      <c r="D367" s="5"/>
      <c r="E367" s="5"/>
      <c r="F367" s="6" t="s">
        <v>320</v>
      </c>
      <c r="G367" s="5"/>
      <c r="H367" s="5"/>
      <c r="I367" s="5"/>
      <c r="J367" s="5"/>
    </row>
    <row r="368" spans="1:10" x14ac:dyDescent="0.2">
      <c r="E368" s="7"/>
      <c r="F368" s="24"/>
      <c r="G368" s="24"/>
      <c r="H368" s="24"/>
      <c r="I368" s="24"/>
      <c r="J368" s="24"/>
    </row>
    <row r="369" spans="2:10" x14ac:dyDescent="0.2">
      <c r="E369" s="11"/>
      <c r="F369" s="10"/>
      <c r="G369" s="26" t="s">
        <v>325</v>
      </c>
      <c r="H369" s="10"/>
      <c r="I369" s="10"/>
      <c r="J369" s="10"/>
    </row>
    <row r="370" spans="2:10" x14ac:dyDescent="0.2">
      <c r="E370" s="7"/>
      <c r="F370" s="7"/>
      <c r="G370" s="7"/>
      <c r="H370" s="8" t="s">
        <v>256</v>
      </c>
      <c r="I370" s="8" t="s">
        <v>257</v>
      </c>
      <c r="J370" s="8" t="s">
        <v>279</v>
      </c>
    </row>
    <row r="371" spans="2:10" x14ac:dyDescent="0.2">
      <c r="B371" s="10"/>
      <c r="C371" s="10"/>
      <c r="D371" s="10"/>
      <c r="E371" s="12" t="s">
        <v>258</v>
      </c>
      <c r="F371" s="12" t="s">
        <v>259</v>
      </c>
      <c r="G371" s="12" t="s">
        <v>6</v>
      </c>
      <c r="H371" s="35" t="s">
        <v>11</v>
      </c>
      <c r="I371" s="35" t="s">
        <v>260</v>
      </c>
      <c r="J371" s="35" t="s">
        <v>261</v>
      </c>
    </row>
    <row r="372" spans="2:10" x14ac:dyDescent="0.2">
      <c r="E372" s="7"/>
      <c r="F372" s="13" t="s">
        <v>14</v>
      </c>
      <c r="G372" s="13" t="s">
        <v>280</v>
      </c>
      <c r="H372" s="13" t="s">
        <v>280</v>
      </c>
      <c r="I372" s="13" t="s">
        <v>280</v>
      </c>
      <c r="J372" s="13" t="s">
        <v>280</v>
      </c>
    </row>
    <row r="373" spans="2:10" x14ac:dyDescent="0.2">
      <c r="C373" s="1" t="s">
        <v>281</v>
      </c>
      <c r="E373" s="16">
        <v>91</v>
      </c>
      <c r="F373" s="3">
        <v>5187</v>
      </c>
      <c r="G373" s="3">
        <v>18209</v>
      </c>
      <c r="H373" s="3">
        <v>110541</v>
      </c>
      <c r="I373" s="3">
        <v>182443</v>
      </c>
      <c r="J373" s="3">
        <v>66826</v>
      </c>
    </row>
    <row r="374" spans="2:10" x14ac:dyDescent="0.2">
      <c r="C374" s="1" t="s">
        <v>282</v>
      </c>
      <c r="E374" s="16">
        <v>89</v>
      </c>
      <c r="F374" s="3">
        <v>5153</v>
      </c>
      <c r="G374" s="3">
        <v>19002</v>
      </c>
      <c r="H374" s="3">
        <v>108169</v>
      </c>
      <c r="I374" s="3">
        <v>189780</v>
      </c>
      <c r="J374" s="3">
        <v>73863</v>
      </c>
    </row>
    <row r="375" spans="2:10" x14ac:dyDescent="0.2">
      <c r="C375" s="1" t="s">
        <v>283</v>
      </c>
      <c r="E375" s="16">
        <v>92</v>
      </c>
      <c r="F375" s="3">
        <v>5262</v>
      </c>
      <c r="G375" s="3">
        <v>20185</v>
      </c>
      <c r="H375" s="3">
        <v>109397</v>
      </c>
      <c r="I375" s="3">
        <v>196708</v>
      </c>
      <c r="J375" s="3">
        <v>82231</v>
      </c>
    </row>
    <row r="376" spans="2:10" x14ac:dyDescent="0.2">
      <c r="C376" s="1" t="s">
        <v>284</v>
      </c>
      <c r="E376" s="16">
        <v>86</v>
      </c>
      <c r="F376" s="3">
        <v>5060</v>
      </c>
      <c r="G376" s="3">
        <v>19921</v>
      </c>
      <c r="H376" s="3">
        <v>116495</v>
      </c>
      <c r="I376" s="3">
        <v>208124</v>
      </c>
      <c r="J376" s="3">
        <v>87468</v>
      </c>
    </row>
    <row r="377" spans="2:10" x14ac:dyDescent="0.2">
      <c r="C377" s="1" t="s">
        <v>285</v>
      </c>
      <c r="E377" s="16">
        <v>87</v>
      </c>
      <c r="F377" s="3">
        <v>5160</v>
      </c>
      <c r="G377" s="3">
        <v>21885</v>
      </c>
      <c r="H377" s="3">
        <v>176651</v>
      </c>
      <c r="I377" s="3">
        <v>273425</v>
      </c>
      <c r="J377" s="3">
        <v>84199</v>
      </c>
    </row>
    <row r="378" spans="2:10" x14ac:dyDescent="0.2">
      <c r="C378" s="1" t="s">
        <v>286</v>
      </c>
      <c r="E378" s="16">
        <v>96</v>
      </c>
      <c r="F378" s="3">
        <v>5535</v>
      </c>
      <c r="G378" s="3">
        <v>23743</v>
      </c>
      <c r="H378" s="3">
        <v>130361</v>
      </c>
      <c r="I378" s="3">
        <v>230455</v>
      </c>
      <c r="J378" s="3">
        <v>87485</v>
      </c>
    </row>
    <row r="379" spans="2:10" x14ac:dyDescent="0.2">
      <c r="C379" s="1"/>
      <c r="E379" s="16"/>
      <c r="F379" s="3"/>
      <c r="G379" s="3"/>
      <c r="H379" s="3"/>
      <c r="I379" s="3"/>
      <c r="J379" s="3"/>
    </row>
    <row r="380" spans="2:10" x14ac:dyDescent="0.2">
      <c r="C380" s="1" t="s">
        <v>287</v>
      </c>
      <c r="E380" s="16">
        <v>99</v>
      </c>
      <c r="F380" s="3">
        <v>5846</v>
      </c>
      <c r="G380" s="3">
        <v>24694</v>
      </c>
      <c r="H380" s="3">
        <v>142358</v>
      </c>
      <c r="I380" s="3">
        <v>250578</v>
      </c>
      <c r="J380" s="3">
        <v>94313</v>
      </c>
    </row>
    <row r="381" spans="2:10" x14ac:dyDescent="0.2">
      <c r="C381" s="1" t="s">
        <v>288</v>
      </c>
      <c r="E381" s="16">
        <v>88</v>
      </c>
      <c r="F381" s="3">
        <v>5378</v>
      </c>
      <c r="G381" s="3">
        <v>24915</v>
      </c>
      <c r="H381" s="3">
        <v>139519</v>
      </c>
      <c r="I381" s="3">
        <v>262818</v>
      </c>
      <c r="J381" s="3">
        <v>105925</v>
      </c>
    </row>
    <row r="382" spans="2:10" x14ac:dyDescent="0.2">
      <c r="C382" s="1" t="s">
        <v>289</v>
      </c>
      <c r="E382" s="16">
        <v>84</v>
      </c>
      <c r="F382" s="3">
        <v>5473</v>
      </c>
      <c r="G382" s="3">
        <v>25268</v>
      </c>
      <c r="H382" s="3">
        <v>160369</v>
      </c>
      <c r="I382" s="3">
        <v>309345</v>
      </c>
      <c r="J382" s="3">
        <v>129483</v>
      </c>
    </row>
    <row r="383" spans="2:10" x14ac:dyDescent="0.2">
      <c r="C383" s="1" t="s">
        <v>290</v>
      </c>
      <c r="E383" s="16">
        <v>85</v>
      </c>
      <c r="F383" s="3">
        <v>5415</v>
      </c>
      <c r="G383" s="3">
        <v>26576</v>
      </c>
      <c r="H383" s="3">
        <v>175256</v>
      </c>
      <c r="I383" s="3">
        <v>343379</v>
      </c>
      <c r="J383" s="3">
        <v>147238</v>
      </c>
    </row>
    <row r="384" spans="2:10" x14ac:dyDescent="0.2">
      <c r="C384" s="1" t="s">
        <v>291</v>
      </c>
      <c r="E384" s="16">
        <v>83</v>
      </c>
      <c r="F384" s="3">
        <v>5581</v>
      </c>
      <c r="G384" s="3">
        <v>27590</v>
      </c>
      <c r="H384" s="3">
        <v>178348</v>
      </c>
      <c r="I384" s="3">
        <v>338697</v>
      </c>
      <c r="J384" s="3">
        <v>138866</v>
      </c>
    </row>
    <row r="385" spans="2:10" x14ac:dyDescent="0.2">
      <c r="C385" s="1" t="s">
        <v>292</v>
      </c>
      <c r="E385" s="16">
        <v>85</v>
      </c>
      <c r="F385" s="3">
        <v>5388</v>
      </c>
      <c r="G385" s="3">
        <v>27910</v>
      </c>
      <c r="H385" s="3">
        <v>171084</v>
      </c>
      <c r="I385" s="3">
        <f>341581-0.4</f>
        <v>341580.6</v>
      </c>
      <c r="J385" s="3">
        <v>146683</v>
      </c>
    </row>
    <row r="386" spans="2:10" x14ac:dyDescent="0.2">
      <c r="C386" s="1"/>
      <c r="E386" s="16"/>
      <c r="F386" s="3"/>
      <c r="G386" s="3"/>
      <c r="H386" s="3"/>
      <c r="I386" s="3"/>
      <c r="J386" s="3"/>
    </row>
    <row r="387" spans="2:10" x14ac:dyDescent="0.2">
      <c r="C387" s="1" t="s">
        <v>293</v>
      </c>
      <c r="E387" s="16">
        <v>85</v>
      </c>
      <c r="F387" s="3">
        <v>5373</v>
      </c>
      <c r="G387" s="3">
        <v>29150</v>
      </c>
      <c r="H387" s="3">
        <v>162428</v>
      </c>
      <c r="I387" s="3">
        <v>340517</v>
      </c>
      <c r="J387" s="3">
        <v>152864</v>
      </c>
    </row>
    <row r="388" spans="2:10" x14ac:dyDescent="0.2">
      <c r="C388" s="1" t="s">
        <v>294</v>
      </c>
      <c r="E388" s="16">
        <v>83</v>
      </c>
      <c r="F388" s="3">
        <v>5200</v>
      </c>
      <c r="G388" s="3">
        <v>28845</v>
      </c>
      <c r="H388" s="3">
        <v>153006</v>
      </c>
      <c r="I388" s="3">
        <v>331380</v>
      </c>
      <c r="J388" s="3">
        <v>150463</v>
      </c>
    </row>
    <row r="389" spans="2:10" x14ac:dyDescent="0.2">
      <c r="C389" s="1" t="s">
        <v>295</v>
      </c>
      <c r="E389" s="16">
        <v>79</v>
      </c>
      <c r="F389" s="3">
        <v>4874</v>
      </c>
      <c r="G389" s="3">
        <v>27489</v>
      </c>
      <c r="H389" s="3">
        <v>159663</v>
      </c>
      <c r="I389" s="3">
        <v>340133</v>
      </c>
      <c r="J389" s="3">
        <v>163411</v>
      </c>
    </row>
    <row r="390" spans="2:10" x14ac:dyDescent="0.2">
      <c r="C390" s="1" t="s">
        <v>296</v>
      </c>
      <c r="E390" s="16">
        <v>81</v>
      </c>
      <c r="F390" s="3">
        <v>5140</v>
      </c>
      <c r="G390" s="3">
        <v>29915</v>
      </c>
      <c r="H390" s="3">
        <v>158869</v>
      </c>
      <c r="I390" s="3">
        <v>344052</v>
      </c>
      <c r="J390" s="3">
        <v>159549</v>
      </c>
    </row>
    <row r="391" spans="2:10" x14ac:dyDescent="0.2">
      <c r="C391" s="1" t="s">
        <v>297</v>
      </c>
      <c r="E391" s="16">
        <v>79</v>
      </c>
      <c r="F391" s="3">
        <v>5175</v>
      </c>
      <c r="G391" s="3">
        <v>30803</v>
      </c>
      <c r="H391" s="3">
        <v>179446</v>
      </c>
      <c r="I391" s="3">
        <v>380763</v>
      </c>
      <c r="J391" s="3">
        <v>172221</v>
      </c>
    </row>
    <row r="392" spans="2:10" x14ac:dyDescent="0.2">
      <c r="C392" s="1" t="s">
        <v>298</v>
      </c>
      <c r="E392" s="16">
        <v>87</v>
      </c>
      <c r="F392" s="3">
        <v>5144</v>
      </c>
      <c r="G392" s="3">
        <v>32712</v>
      </c>
      <c r="H392" s="3">
        <v>154733</v>
      </c>
      <c r="I392" s="3">
        <v>361801</v>
      </c>
      <c r="J392" s="3">
        <v>182799</v>
      </c>
    </row>
    <row r="393" spans="2:10" x14ac:dyDescent="0.2">
      <c r="C393" s="1"/>
      <c r="E393" s="16"/>
      <c r="F393" s="3"/>
      <c r="G393" s="3"/>
      <c r="H393" s="3"/>
      <c r="I393" s="3"/>
      <c r="J393" s="3"/>
    </row>
    <row r="394" spans="2:10" x14ac:dyDescent="0.2">
      <c r="C394" s="1" t="s">
        <v>307</v>
      </c>
      <c r="D394" s="15"/>
      <c r="E394" s="16">
        <v>83</v>
      </c>
      <c r="F394" s="3">
        <v>4958</v>
      </c>
      <c r="G394" s="3">
        <v>30294</v>
      </c>
      <c r="H394" s="3">
        <v>141674</v>
      </c>
      <c r="I394" s="3">
        <v>346152</v>
      </c>
      <c r="J394" s="3">
        <v>176043</v>
      </c>
    </row>
    <row r="395" spans="2:10" x14ac:dyDescent="0.2">
      <c r="C395" s="1" t="s">
        <v>308</v>
      </c>
      <c r="D395" s="80"/>
      <c r="E395" s="16">
        <v>76</v>
      </c>
      <c r="F395" s="3">
        <v>4727</v>
      </c>
      <c r="G395" s="3">
        <v>31041</v>
      </c>
      <c r="H395" s="3">
        <v>160240</v>
      </c>
      <c r="I395" s="3">
        <v>369883</v>
      </c>
      <c r="J395" s="3">
        <v>182069</v>
      </c>
    </row>
    <row r="396" spans="2:10" x14ac:dyDescent="0.2">
      <c r="C396" s="4" t="s">
        <v>309</v>
      </c>
      <c r="D396" s="15"/>
      <c r="E396" s="88">
        <v>77</v>
      </c>
      <c r="F396" s="39">
        <v>4866</v>
      </c>
      <c r="G396" s="39">
        <v>29964</v>
      </c>
      <c r="H396" s="39">
        <v>152031</v>
      </c>
      <c r="I396" s="39">
        <v>359647</v>
      </c>
      <c r="J396" s="39">
        <v>183143</v>
      </c>
    </row>
    <row r="397" spans="2:10" ht="18" thickBot="1" x14ac:dyDescent="0.25">
      <c r="B397" s="5"/>
      <c r="C397" s="5"/>
      <c r="D397" s="5"/>
      <c r="E397" s="41"/>
      <c r="F397" s="5"/>
      <c r="G397" s="5"/>
      <c r="H397" s="5"/>
      <c r="I397" s="5"/>
      <c r="J397" s="5"/>
    </row>
    <row r="398" spans="2:10" x14ac:dyDescent="0.2">
      <c r="E398" s="7"/>
      <c r="F398" s="24"/>
      <c r="G398" s="24"/>
      <c r="H398" s="24"/>
      <c r="I398" s="24"/>
      <c r="J398" s="24"/>
    </row>
    <row r="399" spans="2:10" x14ac:dyDescent="0.2">
      <c r="E399" s="11"/>
      <c r="F399" s="10"/>
      <c r="G399" s="26" t="s">
        <v>326</v>
      </c>
      <c r="H399" s="10"/>
      <c r="I399" s="10"/>
      <c r="J399" s="10"/>
    </row>
    <row r="400" spans="2:10" x14ac:dyDescent="0.2">
      <c r="E400" s="7"/>
      <c r="F400" s="7"/>
      <c r="G400" s="7"/>
      <c r="H400" s="8" t="s">
        <v>256</v>
      </c>
      <c r="I400" s="8" t="s">
        <v>257</v>
      </c>
      <c r="J400" s="8" t="s">
        <v>279</v>
      </c>
    </row>
    <row r="401" spans="2:10" x14ac:dyDescent="0.2">
      <c r="B401" s="10"/>
      <c r="C401" s="10"/>
      <c r="D401" s="10"/>
      <c r="E401" s="12" t="s">
        <v>258</v>
      </c>
      <c r="F401" s="12" t="s">
        <v>259</v>
      </c>
      <c r="G401" s="12" t="s">
        <v>6</v>
      </c>
      <c r="H401" s="35" t="s">
        <v>11</v>
      </c>
      <c r="I401" s="35" t="s">
        <v>260</v>
      </c>
      <c r="J401" s="35" t="s">
        <v>261</v>
      </c>
    </row>
    <row r="402" spans="2:10" x14ac:dyDescent="0.2">
      <c r="E402" s="7"/>
      <c r="F402" s="13" t="s">
        <v>14</v>
      </c>
      <c r="G402" s="13" t="s">
        <v>280</v>
      </c>
      <c r="H402" s="13" t="s">
        <v>280</v>
      </c>
      <c r="I402" s="13" t="s">
        <v>280</v>
      </c>
      <c r="J402" s="13" t="s">
        <v>280</v>
      </c>
    </row>
    <row r="403" spans="2:10" x14ac:dyDescent="0.2">
      <c r="C403" s="1" t="s">
        <v>281</v>
      </c>
      <c r="E403" s="16">
        <v>8</v>
      </c>
      <c r="F403" s="3">
        <v>3100</v>
      </c>
      <c r="G403" s="3">
        <v>15190</v>
      </c>
      <c r="H403" s="3">
        <v>923472</v>
      </c>
      <c r="I403" s="3">
        <v>1076520</v>
      </c>
      <c r="J403" s="3">
        <v>96624</v>
      </c>
    </row>
    <row r="404" spans="2:10" x14ac:dyDescent="0.2">
      <c r="C404" s="1" t="s">
        <v>282</v>
      </c>
      <c r="E404" s="16">
        <v>7</v>
      </c>
      <c r="F404" s="3">
        <v>2920</v>
      </c>
      <c r="G404" s="3">
        <v>16180</v>
      </c>
      <c r="H404" s="3">
        <v>904938</v>
      </c>
      <c r="I404" s="3">
        <v>1047986</v>
      </c>
      <c r="J404" s="3">
        <v>85145</v>
      </c>
    </row>
    <row r="405" spans="2:10" x14ac:dyDescent="0.2">
      <c r="C405" s="1" t="s">
        <v>283</v>
      </c>
      <c r="E405" s="16">
        <v>9</v>
      </c>
      <c r="F405" s="3">
        <v>2654</v>
      </c>
      <c r="G405" s="3">
        <v>13753</v>
      </c>
      <c r="H405" s="3">
        <v>764260</v>
      </c>
      <c r="I405" s="3">
        <v>847995</v>
      </c>
      <c r="J405" s="3">
        <v>33913</v>
      </c>
    </row>
    <row r="406" spans="2:10" x14ac:dyDescent="0.2">
      <c r="C406" s="1" t="s">
        <v>284</v>
      </c>
      <c r="E406" s="16">
        <v>9</v>
      </c>
      <c r="F406" s="3">
        <v>2452</v>
      </c>
      <c r="G406" s="3">
        <v>13256</v>
      </c>
      <c r="H406" s="3">
        <v>749493</v>
      </c>
      <c r="I406" s="3">
        <v>888908</v>
      </c>
      <c r="J406" s="3">
        <v>84232</v>
      </c>
    </row>
    <row r="407" spans="2:10" x14ac:dyDescent="0.2">
      <c r="C407" s="1" t="s">
        <v>285</v>
      </c>
      <c r="E407" s="16">
        <v>7</v>
      </c>
      <c r="F407" s="3">
        <v>2195</v>
      </c>
      <c r="G407" s="3">
        <v>12828</v>
      </c>
      <c r="H407" s="3">
        <v>635200</v>
      </c>
      <c r="I407" s="3">
        <v>770508</v>
      </c>
      <c r="J407" s="3">
        <v>67347</v>
      </c>
    </row>
    <row r="408" spans="2:10" x14ac:dyDescent="0.2">
      <c r="C408" s="1" t="s">
        <v>286</v>
      </c>
      <c r="E408" s="16">
        <v>8</v>
      </c>
      <c r="F408" s="3">
        <v>2038</v>
      </c>
      <c r="G408" s="3">
        <v>12199</v>
      </c>
      <c r="H408" s="3">
        <v>297494</v>
      </c>
      <c r="I408" s="3">
        <v>480538</v>
      </c>
      <c r="J408" s="3">
        <v>89367</v>
      </c>
    </row>
    <row r="409" spans="2:10" x14ac:dyDescent="0.2">
      <c r="C409" s="1"/>
      <c r="E409" s="16"/>
      <c r="F409" s="3"/>
      <c r="G409" s="3"/>
      <c r="H409" s="3"/>
      <c r="I409" s="3"/>
      <c r="J409" s="3"/>
    </row>
    <row r="410" spans="2:10" x14ac:dyDescent="0.2">
      <c r="C410" s="1" t="s">
        <v>287</v>
      </c>
      <c r="E410" s="16">
        <v>7</v>
      </c>
      <c r="F410" s="3">
        <v>1146</v>
      </c>
      <c r="G410" s="3">
        <v>8361</v>
      </c>
      <c r="H410" s="3">
        <v>260288</v>
      </c>
      <c r="I410" s="3">
        <v>394777</v>
      </c>
      <c r="J410" s="3">
        <v>42222</v>
      </c>
    </row>
    <row r="411" spans="2:10" x14ac:dyDescent="0.2">
      <c r="C411" s="1" t="s">
        <v>288</v>
      </c>
      <c r="E411" s="16">
        <v>9</v>
      </c>
      <c r="F411" s="3">
        <v>1279</v>
      </c>
      <c r="G411" s="3">
        <v>9498</v>
      </c>
      <c r="H411" s="3">
        <v>204200</v>
      </c>
      <c r="I411" s="3">
        <v>364501</v>
      </c>
      <c r="J411" s="3">
        <v>56023</v>
      </c>
    </row>
    <row r="412" spans="2:10" x14ac:dyDescent="0.2">
      <c r="C412" s="1" t="s">
        <v>289</v>
      </c>
      <c r="E412" s="16">
        <v>10</v>
      </c>
      <c r="F412" s="3">
        <v>1204</v>
      </c>
      <c r="G412" s="3">
        <v>9160</v>
      </c>
      <c r="H412" s="3">
        <v>256337</v>
      </c>
      <c r="I412" s="3">
        <v>399372</v>
      </c>
      <c r="J412" s="3">
        <v>32936</v>
      </c>
    </row>
    <row r="413" spans="2:10" x14ac:dyDescent="0.2">
      <c r="C413" s="1" t="s">
        <v>290</v>
      </c>
      <c r="E413" s="16">
        <v>11</v>
      </c>
      <c r="F413" s="3">
        <v>1181</v>
      </c>
      <c r="G413" s="3">
        <v>9249</v>
      </c>
      <c r="H413" s="3">
        <v>326635</v>
      </c>
      <c r="I413" s="3">
        <v>447133</v>
      </c>
      <c r="J413" s="3">
        <v>12901</v>
      </c>
    </row>
    <row r="414" spans="2:10" x14ac:dyDescent="0.2">
      <c r="C414" s="1" t="s">
        <v>291</v>
      </c>
      <c r="E414" s="16">
        <v>12</v>
      </c>
      <c r="F414" s="3">
        <v>1164</v>
      </c>
      <c r="G414" s="3">
        <v>8966</v>
      </c>
      <c r="H414" s="3">
        <v>296064</v>
      </c>
      <c r="I414" s="3">
        <v>432262</v>
      </c>
      <c r="J414" s="3">
        <v>21278</v>
      </c>
    </row>
    <row r="415" spans="2:10" x14ac:dyDescent="0.2">
      <c r="C415" s="1" t="s">
        <v>292</v>
      </c>
      <c r="E415" s="16">
        <v>11</v>
      </c>
      <c r="F415" s="3">
        <v>1184</v>
      </c>
      <c r="G415" s="3">
        <v>9366</v>
      </c>
      <c r="H415" s="3">
        <v>221203</v>
      </c>
      <c r="I415" s="3">
        <f>364065-0.4</f>
        <v>364064.6</v>
      </c>
      <c r="J415" s="3">
        <v>22639</v>
      </c>
    </row>
    <row r="416" spans="2:10" x14ac:dyDescent="0.2">
      <c r="C416" s="1"/>
      <c r="E416" s="16"/>
      <c r="F416" s="3"/>
      <c r="G416" s="3"/>
      <c r="H416" s="3"/>
      <c r="I416" s="3"/>
      <c r="J416" s="3"/>
    </row>
    <row r="417" spans="1:10" x14ac:dyDescent="0.2">
      <c r="C417" s="1" t="s">
        <v>293</v>
      </c>
      <c r="E417" s="16">
        <v>11</v>
      </c>
      <c r="F417" s="3">
        <v>1221</v>
      </c>
      <c r="G417" s="3">
        <v>9326</v>
      </c>
      <c r="H417" s="3">
        <v>189912</v>
      </c>
      <c r="I417" s="3">
        <v>339945</v>
      </c>
      <c r="J417" s="3">
        <f>51724+0.3</f>
        <v>51724.3</v>
      </c>
    </row>
    <row r="418" spans="1:10" x14ac:dyDescent="0.2">
      <c r="C418" s="1" t="s">
        <v>294</v>
      </c>
      <c r="E418" s="16">
        <v>10</v>
      </c>
      <c r="F418" s="3">
        <v>1229</v>
      </c>
      <c r="G418" s="3">
        <v>9860</v>
      </c>
      <c r="H418" s="3">
        <v>196906</v>
      </c>
      <c r="I418" s="3">
        <v>321757</v>
      </c>
      <c r="J418" s="3">
        <v>26691</v>
      </c>
    </row>
    <row r="419" spans="1:10" x14ac:dyDescent="0.2">
      <c r="C419" s="1" t="s">
        <v>295</v>
      </c>
      <c r="E419" s="16">
        <v>10</v>
      </c>
      <c r="F419" s="3">
        <v>1195</v>
      </c>
      <c r="G419" s="3">
        <v>9925</v>
      </c>
      <c r="H419" s="3">
        <v>190270</v>
      </c>
      <c r="I419" s="3">
        <v>313367</v>
      </c>
      <c r="J419" s="3">
        <v>30683</v>
      </c>
    </row>
    <row r="420" spans="1:10" x14ac:dyDescent="0.2">
      <c r="C420" s="1" t="s">
        <v>296</v>
      </c>
      <c r="E420" s="16">
        <v>10</v>
      </c>
      <c r="F420" s="3">
        <v>1186</v>
      </c>
      <c r="G420" s="3">
        <v>9854</v>
      </c>
      <c r="H420" s="3">
        <v>250642</v>
      </c>
      <c r="I420" s="3">
        <v>388388</v>
      </c>
      <c r="J420" s="3">
        <v>19856</v>
      </c>
    </row>
    <row r="421" spans="1:10" x14ac:dyDescent="0.2">
      <c r="C421" s="1" t="s">
        <v>297</v>
      </c>
      <c r="E421" s="16">
        <v>8</v>
      </c>
      <c r="F421" s="3">
        <v>1009</v>
      </c>
      <c r="G421" s="3">
        <v>9201</v>
      </c>
      <c r="H421" s="3">
        <v>239880</v>
      </c>
      <c r="I421" s="3">
        <v>380271</v>
      </c>
      <c r="J421" s="3">
        <v>11366</v>
      </c>
    </row>
    <row r="422" spans="1:10" x14ac:dyDescent="0.2">
      <c r="C422" s="1" t="s">
        <v>298</v>
      </c>
      <c r="E422" s="16">
        <v>9</v>
      </c>
      <c r="F422" s="3">
        <v>1082</v>
      </c>
      <c r="G422" s="3">
        <v>9358</v>
      </c>
      <c r="H422" s="3">
        <v>183396</v>
      </c>
      <c r="I422" s="3">
        <v>334631</v>
      </c>
      <c r="J422" s="3">
        <v>504</v>
      </c>
    </row>
    <row r="423" spans="1:10" x14ac:dyDescent="0.2">
      <c r="C423" s="1"/>
      <c r="E423" s="16"/>
      <c r="F423" s="3"/>
      <c r="G423" s="3"/>
      <c r="H423" s="3"/>
      <c r="I423" s="3"/>
      <c r="J423" s="3"/>
    </row>
    <row r="424" spans="1:10" ht="18" customHeight="1" x14ac:dyDescent="0.2">
      <c r="C424" s="1" t="s">
        <v>327</v>
      </c>
      <c r="D424" s="15"/>
      <c r="E424" s="16">
        <v>10</v>
      </c>
      <c r="F424" s="3">
        <v>938</v>
      </c>
      <c r="G424" s="3">
        <v>11072</v>
      </c>
      <c r="H424" s="3">
        <v>227937</v>
      </c>
      <c r="I424" s="3">
        <v>384970</v>
      </c>
      <c r="J424" s="3">
        <v>26027</v>
      </c>
    </row>
    <row r="425" spans="1:10" x14ac:dyDescent="0.2">
      <c r="C425" s="1" t="s">
        <v>328</v>
      </c>
      <c r="D425" s="80"/>
      <c r="E425" s="16">
        <v>8</v>
      </c>
      <c r="F425" s="3">
        <v>900</v>
      </c>
      <c r="G425" s="3">
        <v>8461</v>
      </c>
      <c r="H425" s="3">
        <v>290313</v>
      </c>
      <c r="I425" s="3">
        <v>474206</v>
      </c>
      <c r="J425" s="3">
        <v>65040</v>
      </c>
    </row>
    <row r="426" spans="1:10" x14ac:dyDescent="0.2">
      <c r="C426" s="4" t="s">
        <v>329</v>
      </c>
      <c r="D426" s="15"/>
      <c r="E426" s="88">
        <v>8</v>
      </c>
      <c r="F426" s="39">
        <v>862</v>
      </c>
      <c r="G426" s="39">
        <v>7796</v>
      </c>
      <c r="H426" s="39">
        <v>271893</v>
      </c>
      <c r="I426" s="39">
        <v>516027</v>
      </c>
      <c r="J426" s="39">
        <v>98512</v>
      </c>
    </row>
    <row r="427" spans="1:10" ht="18" thickBot="1" x14ac:dyDescent="0.25">
      <c r="B427" s="5"/>
      <c r="C427" s="5"/>
      <c r="D427" s="5"/>
      <c r="E427" s="41"/>
      <c r="F427" s="5"/>
      <c r="G427" s="5"/>
      <c r="H427" s="5"/>
      <c r="I427" s="5"/>
      <c r="J427" s="5"/>
    </row>
    <row r="428" spans="1:10" x14ac:dyDescent="0.2">
      <c r="D428" s="1" t="s">
        <v>273</v>
      </c>
      <c r="E428" s="1"/>
      <c r="H428" s="1" t="s">
        <v>330</v>
      </c>
    </row>
    <row r="429" spans="1:10" x14ac:dyDescent="0.2">
      <c r="H429" s="1"/>
    </row>
    <row r="431" spans="1:10" x14ac:dyDescent="0.2">
      <c r="A431" s="1"/>
    </row>
    <row r="432" spans="1:10" x14ac:dyDescent="0.2">
      <c r="A432" s="1"/>
    </row>
    <row r="437" spans="2:10" x14ac:dyDescent="0.2">
      <c r="C437" s="15"/>
      <c r="D437" s="15"/>
      <c r="E437" s="15"/>
      <c r="F437" s="4" t="s">
        <v>303</v>
      </c>
    </row>
    <row r="438" spans="2:10" x14ac:dyDescent="0.2">
      <c r="F438" s="1" t="s">
        <v>304</v>
      </c>
    </row>
    <row r="439" spans="2:10" ht="18" thickBot="1" x14ac:dyDescent="0.25">
      <c r="B439" s="5"/>
      <c r="C439" s="5"/>
      <c r="D439" s="5"/>
      <c r="E439" s="5"/>
      <c r="F439" s="6" t="s">
        <v>331</v>
      </c>
      <c r="G439" s="5"/>
      <c r="H439" s="5"/>
      <c r="I439" s="5"/>
      <c r="J439" s="5"/>
    </row>
    <row r="440" spans="2:10" x14ac:dyDescent="0.2">
      <c r="E440" s="7"/>
      <c r="F440" s="24"/>
      <c r="G440" s="34" t="s">
        <v>279</v>
      </c>
      <c r="H440" s="24"/>
      <c r="I440" s="24"/>
      <c r="J440" s="24"/>
    </row>
    <row r="441" spans="2:10" x14ac:dyDescent="0.2">
      <c r="E441" s="11"/>
      <c r="F441" s="10"/>
      <c r="G441" s="26" t="s">
        <v>332</v>
      </c>
      <c r="H441" s="10"/>
      <c r="I441" s="10"/>
      <c r="J441" s="10"/>
    </row>
    <row r="442" spans="2:10" x14ac:dyDescent="0.2">
      <c r="E442" s="7"/>
      <c r="F442" s="7"/>
      <c r="G442" s="7"/>
      <c r="H442" s="8" t="s">
        <v>256</v>
      </c>
      <c r="I442" s="8" t="s">
        <v>257</v>
      </c>
      <c r="J442" s="8" t="s">
        <v>333</v>
      </c>
    </row>
    <row r="443" spans="2:10" x14ac:dyDescent="0.2">
      <c r="B443" s="10"/>
      <c r="C443" s="10"/>
      <c r="D443" s="10"/>
      <c r="E443" s="12" t="s">
        <v>258</v>
      </c>
      <c r="F443" s="12" t="s">
        <v>259</v>
      </c>
      <c r="G443" s="12" t="s">
        <v>6</v>
      </c>
      <c r="H443" s="35" t="s">
        <v>11</v>
      </c>
      <c r="I443" s="35" t="s">
        <v>260</v>
      </c>
      <c r="J443" s="35" t="s">
        <v>261</v>
      </c>
    </row>
    <row r="444" spans="2:10" x14ac:dyDescent="0.2">
      <c r="E444" s="7"/>
      <c r="F444" s="13" t="s">
        <v>14</v>
      </c>
      <c r="G444" s="13" t="s">
        <v>280</v>
      </c>
      <c r="H444" s="13" t="s">
        <v>280</v>
      </c>
      <c r="I444" s="13" t="s">
        <v>280</v>
      </c>
      <c r="J444" s="13" t="s">
        <v>280</v>
      </c>
    </row>
    <row r="445" spans="2:10" x14ac:dyDescent="0.2">
      <c r="C445" s="1" t="s">
        <v>281</v>
      </c>
      <c r="E445" s="18" t="s">
        <v>334</v>
      </c>
      <c r="F445" s="17" t="s">
        <v>334</v>
      </c>
      <c r="G445" s="17" t="s">
        <v>334</v>
      </c>
      <c r="H445" s="17" t="s">
        <v>334</v>
      </c>
      <c r="I445" s="17" t="s">
        <v>334</v>
      </c>
      <c r="J445" s="17" t="s">
        <v>334</v>
      </c>
    </row>
    <row r="446" spans="2:10" x14ac:dyDescent="0.2">
      <c r="C446" s="1" t="s">
        <v>282</v>
      </c>
      <c r="E446" s="18" t="s">
        <v>334</v>
      </c>
      <c r="F446" s="17" t="s">
        <v>334</v>
      </c>
      <c r="G446" s="17" t="s">
        <v>334</v>
      </c>
      <c r="H446" s="17" t="s">
        <v>334</v>
      </c>
      <c r="I446" s="17" t="s">
        <v>334</v>
      </c>
      <c r="J446" s="17" t="s">
        <v>334</v>
      </c>
    </row>
    <row r="447" spans="2:10" x14ac:dyDescent="0.2">
      <c r="C447" s="1" t="s">
        <v>283</v>
      </c>
      <c r="E447" s="18" t="s">
        <v>334</v>
      </c>
      <c r="F447" s="17" t="s">
        <v>334</v>
      </c>
      <c r="G447" s="17" t="s">
        <v>334</v>
      </c>
      <c r="H447" s="17" t="s">
        <v>334</v>
      </c>
      <c r="I447" s="17" t="s">
        <v>334</v>
      </c>
      <c r="J447" s="17" t="s">
        <v>334</v>
      </c>
    </row>
    <row r="448" spans="2:10" x14ac:dyDescent="0.2">
      <c r="C448" s="1" t="s">
        <v>284</v>
      </c>
      <c r="E448" s="18" t="s">
        <v>334</v>
      </c>
      <c r="F448" s="17" t="s">
        <v>334</v>
      </c>
      <c r="G448" s="17" t="s">
        <v>334</v>
      </c>
      <c r="H448" s="17" t="s">
        <v>334</v>
      </c>
      <c r="I448" s="17" t="s">
        <v>334</v>
      </c>
      <c r="J448" s="17" t="s">
        <v>334</v>
      </c>
    </row>
    <row r="449" spans="3:10" x14ac:dyDescent="0.2">
      <c r="C449" s="1" t="s">
        <v>285</v>
      </c>
      <c r="E449" s="16">
        <v>139</v>
      </c>
      <c r="F449" s="3">
        <v>2040</v>
      </c>
      <c r="G449" s="3">
        <v>4473</v>
      </c>
      <c r="H449" s="3">
        <v>19597</v>
      </c>
      <c r="I449" s="3">
        <v>31619</v>
      </c>
      <c r="J449" s="3">
        <v>11874</v>
      </c>
    </row>
    <row r="450" spans="3:10" x14ac:dyDescent="0.2">
      <c r="C450" s="1" t="s">
        <v>286</v>
      </c>
      <c r="E450" s="16">
        <v>147</v>
      </c>
      <c r="F450" s="3">
        <v>2156</v>
      </c>
      <c r="G450" s="3">
        <v>4740</v>
      </c>
      <c r="H450" s="3">
        <v>21506</v>
      </c>
      <c r="I450" s="3">
        <v>33853</v>
      </c>
      <c r="J450" s="3">
        <v>11951</v>
      </c>
    </row>
    <row r="451" spans="3:10" x14ac:dyDescent="0.2">
      <c r="C451" s="1"/>
      <c r="E451" s="16"/>
      <c r="F451" s="3"/>
      <c r="G451" s="3"/>
      <c r="H451" s="3"/>
      <c r="I451" s="3"/>
      <c r="J451" s="3"/>
    </row>
    <row r="452" spans="3:10" x14ac:dyDescent="0.2">
      <c r="C452" s="1" t="s">
        <v>287</v>
      </c>
      <c r="E452" s="16">
        <v>143</v>
      </c>
      <c r="F452" s="3">
        <v>2190</v>
      </c>
      <c r="G452" s="3">
        <v>5590</v>
      </c>
      <c r="H452" s="3">
        <v>21452</v>
      </c>
      <c r="I452" s="3">
        <v>35584</v>
      </c>
      <c r="J452" s="3">
        <v>13492</v>
      </c>
    </row>
    <row r="453" spans="3:10" x14ac:dyDescent="0.2">
      <c r="C453" s="1" t="s">
        <v>288</v>
      </c>
      <c r="E453" s="16">
        <v>148</v>
      </c>
      <c r="F453" s="3">
        <v>2347</v>
      </c>
      <c r="G453" s="3">
        <v>5862</v>
      </c>
      <c r="H453" s="3">
        <v>24116</v>
      </c>
      <c r="I453" s="3">
        <v>38568</v>
      </c>
      <c r="J453" s="3">
        <v>13937</v>
      </c>
    </row>
    <row r="454" spans="3:10" x14ac:dyDescent="0.2">
      <c r="C454" s="1" t="s">
        <v>289</v>
      </c>
      <c r="E454" s="16">
        <v>142</v>
      </c>
      <c r="F454" s="3">
        <v>2298</v>
      </c>
      <c r="G454" s="3">
        <v>5884</v>
      </c>
      <c r="H454" s="3">
        <v>23955</v>
      </c>
      <c r="I454" s="3">
        <v>39822</v>
      </c>
      <c r="J454" s="3">
        <v>14995</v>
      </c>
    </row>
    <row r="455" spans="3:10" x14ac:dyDescent="0.2">
      <c r="C455" s="1" t="s">
        <v>290</v>
      </c>
      <c r="E455" s="16">
        <v>157</v>
      </c>
      <c r="F455" s="3">
        <v>2636</v>
      </c>
      <c r="G455" s="3">
        <v>6882</v>
      </c>
      <c r="H455" s="3">
        <v>27398</v>
      </c>
      <c r="I455" s="3">
        <v>45560</v>
      </c>
      <c r="J455" s="3">
        <v>17282</v>
      </c>
    </row>
    <row r="456" spans="3:10" x14ac:dyDescent="0.2">
      <c r="C456" s="1" t="s">
        <v>291</v>
      </c>
      <c r="E456" s="16">
        <v>147</v>
      </c>
      <c r="F456" s="3">
        <v>2597</v>
      </c>
      <c r="G456" s="3">
        <v>7755</v>
      </c>
      <c r="H456" s="3">
        <v>28246</v>
      </c>
      <c r="I456" s="3">
        <v>48468</v>
      </c>
      <c r="J456" s="3">
        <v>19134</v>
      </c>
    </row>
    <row r="457" spans="3:10" x14ac:dyDescent="0.2">
      <c r="C457" s="1" t="s">
        <v>292</v>
      </c>
      <c r="E457" s="16">
        <v>142</v>
      </c>
      <c r="F457" s="3">
        <v>2557</v>
      </c>
      <c r="G457" s="3">
        <v>7761</v>
      </c>
      <c r="H457" s="3">
        <v>27609</v>
      </c>
      <c r="I457" s="3">
        <v>47465</v>
      </c>
      <c r="J457" s="3">
        <v>18736</v>
      </c>
    </row>
    <row r="458" spans="3:10" x14ac:dyDescent="0.2">
      <c r="C458" s="1"/>
      <c r="E458" s="16"/>
      <c r="F458" s="3"/>
      <c r="G458" s="3"/>
      <c r="H458" s="3"/>
      <c r="I458" s="3"/>
      <c r="J458" s="3"/>
    </row>
    <row r="459" spans="3:10" x14ac:dyDescent="0.2">
      <c r="C459" s="1" t="s">
        <v>293</v>
      </c>
      <c r="E459" s="16">
        <v>146</v>
      </c>
      <c r="F459" s="3">
        <v>2635</v>
      </c>
      <c r="G459" s="3">
        <v>8426</v>
      </c>
      <c r="H459" s="3">
        <v>28306</v>
      </c>
      <c r="I459" s="3">
        <v>49806</v>
      </c>
      <c r="J459" s="3">
        <v>20131</v>
      </c>
    </row>
    <row r="460" spans="3:10" x14ac:dyDescent="0.2">
      <c r="C460" s="1" t="s">
        <v>294</v>
      </c>
      <c r="E460" s="16">
        <v>135</v>
      </c>
      <c r="F460" s="3">
        <v>2571</v>
      </c>
      <c r="G460" s="3">
        <v>8538</v>
      </c>
      <c r="H460" s="3">
        <v>27260</v>
      </c>
      <c r="I460" s="3">
        <v>47641</v>
      </c>
      <c r="J460" s="3">
        <v>18589</v>
      </c>
    </row>
    <row r="461" spans="3:10" x14ac:dyDescent="0.2">
      <c r="C461" s="1" t="s">
        <v>295</v>
      </c>
      <c r="E461" s="16">
        <v>132</v>
      </c>
      <c r="F461" s="3">
        <v>2484</v>
      </c>
      <c r="G461" s="3">
        <v>8316</v>
      </c>
      <c r="H461" s="3">
        <v>26139</v>
      </c>
      <c r="I461" s="3">
        <v>47042</v>
      </c>
      <c r="J461" s="3">
        <v>19051</v>
      </c>
    </row>
    <row r="462" spans="3:10" x14ac:dyDescent="0.2">
      <c r="C462" s="1" t="s">
        <v>296</v>
      </c>
      <c r="E462" s="16">
        <v>123</v>
      </c>
      <c r="F462" s="3">
        <v>2486</v>
      </c>
      <c r="G462" s="3">
        <v>8523</v>
      </c>
      <c r="H462" s="3">
        <v>27245</v>
      </c>
      <c r="I462" s="3">
        <v>49843</v>
      </c>
      <c r="J462" s="3">
        <v>20898</v>
      </c>
    </row>
    <row r="463" spans="3:10" x14ac:dyDescent="0.2">
      <c r="C463" s="1" t="s">
        <v>297</v>
      </c>
      <c r="E463" s="16">
        <v>111</v>
      </c>
      <c r="F463" s="3">
        <v>2407</v>
      </c>
      <c r="G463" s="3">
        <v>8424</v>
      </c>
      <c r="H463" s="3">
        <v>25842</v>
      </c>
      <c r="I463" s="3">
        <v>48177</v>
      </c>
      <c r="J463" s="3">
        <v>20319</v>
      </c>
    </row>
    <row r="464" spans="3:10" x14ac:dyDescent="0.2">
      <c r="C464" s="1" t="s">
        <v>298</v>
      </c>
      <c r="E464" s="16">
        <v>125</v>
      </c>
      <c r="F464" s="3">
        <v>2475</v>
      </c>
      <c r="G464" s="3">
        <v>8034</v>
      </c>
      <c r="H464" s="3">
        <v>24280</v>
      </c>
      <c r="I464" s="3">
        <v>45430</v>
      </c>
      <c r="J464" s="3">
        <v>19120</v>
      </c>
    </row>
    <row r="465" spans="2:10" x14ac:dyDescent="0.2">
      <c r="C465" s="1"/>
      <c r="E465" s="16"/>
      <c r="F465" s="3"/>
      <c r="G465" s="3"/>
      <c r="H465" s="3"/>
      <c r="I465" s="3"/>
      <c r="J465" s="3"/>
    </row>
    <row r="466" spans="2:10" x14ac:dyDescent="0.2">
      <c r="C466" s="1" t="s">
        <v>327</v>
      </c>
      <c r="D466" s="15"/>
      <c r="E466" s="16">
        <v>119</v>
      </c>
      <c r="F466" s="3">
        <v>2300</v>
      </c>
      <c r="G466" s="3">
        <v>7461</v>
      </c>
      <c r="H466" s="3">
        <v>26054</v>
      </c>
      <c r="I466" s="3">
        <v>46825</v>
      </c>
      <c r="J466" s="3">
        <v>18487</v>
      </c>
    </row>
    <row r="467" spans="2:10" x14ac:dyDescent="0.2">
      <c r="C467" s="1" t="s">
        <v>328</v>
      </c>
      <c r="D467" s="80"/>
      <c r="E467" s="16">
        <v>121</v>
      </c>
      <c r="F467" s="3">
        <v>2323</v>
      </c>
      <c r="G467" s="3">
        <v>7789</v>
      </c>
      <c r="H467" s="3">
        <v>28621</v>
      </c>
      <c r="I467" s="3">
        <v>50390</v>
      </c>
      <c r="J467" s="3">
        <v>18484</v>
      </c>
    </row>
    <row r="468" spans="2:10" x14ac:dyDescent="0.2">
      <c r="C468" s="4" t="s">
        <v>329</v>
      </c>
      <c r="D468" s="80"/>
      <c r="E468" s="88">
        <v>106</v>
      </c>
      <c r="F468" s="39">
        <v>2253</v>
      </c>
      <c r="G468" s="39">
        <v>7358</v>
      </c>
      <c r="H468" s="39">
        <v>26356</v>
      </c>
      <c r="I468" s="39">
        <v>45245</v>
      </c>
      <c r="J468" s="39">
        <v>16943</v>
      </c>
    </row>
    <row r="469" spans="2:10" ht="18" thickBot="1" x14ac:dyDescent="0.25">
      <c r="B469" s="5"/>
      <c r="C469" s="5"/>
      <c r="D469" s="5"/>
      <c r="E469" s="41"/>
      <c r="F469" s="5"/>
      <c r="G469" s="5"/>
      <c r="H469" s="5"/>
      <c r="I469" s="5"/>
      <c r="J469" s="5"/>
    </row>
    <row r="470" spans="2:10" x14ac:dyDescent="0.2">
      <c r="E470" s="7"/>
      <c r="F470" s="24"/>
      <c r="G470" s="24"/>
      <c r="H470" s="24"/>
      <c r="I470" s="24"/>
      <c r="J470" s="24"/>
    </row>
    <row r="471" spans="2:10" x14ac:dyDescent="0.2">
      <c r="E471" s="11"/>
      <c r="F471" s="10"/>
      <c r="G471" s="26" t="s">
        <v>335</v>
      </c>
      <c r="H471" s="10"/>
      <c r="I471" s="10"/>
      <c r="J471" s="10"/>
    </row>
    <row r="472" spans="2:10" x14ac:dyDescent="0.2">
      <c r="E472" s="7"/>
      <c r="F472" s="7"/>
      <c r="G472" s="7"/>
      <c r="H472" s="8" t="s">
        <v>256</v>
      </c>
      <c r="I472" s="8" t="s">
        <v>257</v>
      </c>
      <c r="J472" s="8" t="s">
        <v>333</v>
      </c>
    </row>
    <row r="473" spans="2:10" x14ac:dyDescent="0.2">
      <c r="B473" s="10"/>
      <c r="C473" s="10"/>
      <c r="D473" s="10"/>
      <c r="E473" s="12" t="s">
        <v>258</v>
      </c>
      <c r="F473" s="12" t="s">
        <v>259</v>
      </c>
      <c r="G473" s="12" t="s">
        <v>6</v>
      </c>
      <c r="H473" s="35" t="s">
        <v>11</v>
      </c>
      <c r="I473" s="35" t="s">
        <v>260</v>
      </c>
      <c r="J473" s="35" t="s">
        <v>261</v>
      </c>
    </row>
    <row r="474" spans="2:10" x14ac:dyDescent="0.2">
      <c r="E474" s="7"/>
      <c r="F474" s="13" t="s">
        <v>14</v>
      </c>
      <c r="G474" s="13" t="s">
        <v>280</v>
      </c>
      <c r="H474" s="13" t="s">
        <v>280</v>
      </c>
      <c r="I474" s="13" t="s">
        <v>280</v>
      </c>
      <c r="J474" s="13" t="s">
        <v>280</v>
      </c>
    </row>
    <row r="475" spans="2:10" x14ac:dyDescent="0.2">
      <c r="C475" s="1" t="s">
        <v>281</v>
      </c>
      <c r="E475" s="16">
        <v>14</v>
      </c>
      <c r="F475" s="3">
        <v>213</v>
      </c>
      <c r="G475" s="3">
        <v>406</v>
      </c>
      <c r="H475" s="3">
        <v>326</v>
      </c>
      <c r="I475" s="3">
        <v>1095</v>
      </c>
      <c r="J475" s="3">
        <v>759</v>
      </c>
    </row>
    <row r="476" spans="2:10" x14ac:dyDescent="0.2">
      <c r="C476" s="1" t="s">
        <v>282</v>
      </c>
      <c r="E476" s="16">
        <v>11</v>
      </c>
      <c r="F476" s="3">
        <v>187</v>
      </c>
      <c r="G476" s="3">
        <v>363.1</v>
      </c>
      <c r="H476" s="3">
        <v>305</v>
      </c>
      <c r="I476" s="3">
        <v>916</v>
      </c>
      <c r="J476" s="3">
        <v>604</v>
      </c>
    </row>
    <row r="477" spans="2:10" x14ac:dyDescent="0.2">
      <c r="C477" s="1" t="s">
        <v>283</v>
      </c>
      <c r="E477" s="16">
        <v>14</v>
      </c>
      <c r="F477" s="3">
        <v>215</v>
      </c>
      <c r="G477" s="3">
        <v>402</v>
      </c>
      <c r="H477" s="3">
        <v>476</v>
      </c>
      <c r="I477" s="3">
        <v>1228</v>
      </c>
      <c r="J477" s="3">
        <v>743</v>
      </c>
    </row>
    <row r="478" spans="2:10" x14ac:dyDescent="0.2">
      <c r="C478" s="1" t="s">
        <v>284</v>
      </c>
      <c r="E478" s="16">
        <v>12</v>
      </c>
      <c r="F478" s="3">
        <v>271</v>
      </c>
      <c r="G478" s="3">
        <v>597</v>
      </c>
      <c r="H478" s="3">
        <v>510</v>
      </c>
      <c r="I478" s="3">
        <v>1796</v>
      </c>
      <c r="J478" s="3">
        <v>1232</v>
      </c>
    </row>
    <row r="479" spans="2:10" x14ac:dyDescent="0.2">
      <c r="C479" s="1" t="s">
        <v>285</v>
      </c>
      <c r="E479" s="16">
        <v>12</v>
      </c>
      <c r="F479" s="3">
        <v>289</v>
      </c>
      <c r="G479" s="3">
        <v>608</v>
      </c>
      <c r="H479" s="3">
        <v>631</v>
      </c>
      <c r="I479" s="3">
        <v>1920</v>
      </c>
      <c r="J479" s="3">
        <v>1223</v>
      </c>
    </row>
    <row r="480" spans="2:10" x14ac:dyDescent="0.2">
      <c r="C480" s="1" t="s">
        <v>286</v>
      </c>
      <c r="E480" s="16">
        <v>12</v>
      </c>
      <c r="F480" s="3">
        <v>320</v>
      </c>
      <c r="G480" s="3">
        <v>692</v>
      </c>
      <c r="H480" s="3">
        <v>668</v>
      </c>
      <c r="I480" s="3">
        <v>1763</v>
      </c>
      <c r="J480" s="3">
        <v>998</v>
      </c>
    </row>
    <row r="481" spans="3:10" x14ac:dyDescent="0.2">
      <c r="C481" s="1"/>
      <c r="E481" s="16"/>
      <c r="F481" s="3"/>
      <c r="G481" s="3"/>
      <c r="H481" s="3"/>
      <c r="I481" s="3"/>
      <c r="J481" s="3"/>
    </row>
    <row r="482" spans="3:10" x14ac:dyDescent="0.2">
      <c r="C482" s="1" t="s">
        <v>287</v>
      </c>
      <c r="E482" s="16">
        <v>12</v>
      </c>
      <c r="F482" s="3">
        <v>342</v>
      </c>
      <c r="G482" s="3">
        <v>708</v>
      </c>
      <c r="H482" s="3">
        <v>898</v>
      </c>
      <c r="I482" s="3">
        <v>2278</v>
      </c>
      <c r="J482" s="3">
        <v>1289</v>
      </c>
    </row>
    <row r="483" spans="3:10" x14ac:dyDescent="0.2">
      <c r="C483" s="1" t="s">
        <v>288</v>
      </c>
      <c r="E483" s="16">
        <v>16</v>
      </c>
      <c r="F483" s="3">
        <v>801</v>
      </c>
      <c r="G483" s="3">
        <v>3016</v>
      </c>
      <c r="H483" s="3">
        <v>8108</v>
      </c>
      <c r="I483" s="3">
        <v>16278</v>
      </c>
      <c r="J483" s="3">
        <v>7722</v>
      </c>
    </row>
    <row r="484" spans="3:10" x14ac:dyDescent="0.2">
      <c r="C484" s="1" t="s">
        <v>289</v>
      </c>
      <c r="E484" s="16">
        <v>15</v>
      </c>
      <c r="F484" s="3">
        <v>688</v>
      </c>
      <c r="G484" s="3">
        <v>3003</v>
      </c>
      <c r="H484" s="3">
        <v>8955</v>
      </c>
      <c r="I484" s="3">
        <v>18181</v>
      </c>
      <c r="J484" s="3">
        <v>8588</v>
      </c>
    </row>
    <row r="485" spans="3:10" x14ac:dyDescent="0.2">
      <c r="C485" s="1" t="s">
        <v>290</v>
      </c>
      <c r="E485" s="16">
        <v>19</v>
      </c>
      <c r="F485" s="3">
        <v>879</v>
      </c>
      <c r="G485" s="3">
        <v>3328</v>
      </c>
      <c r="H485" s="3">
        <v>9742</v>
      </c>
      <c r="I485" s="3">
        <v>20102</v>
      </c>
      <c r="J485" s="3">
        <v>9679</v>
      </c>
    </row>
    <row r="486" spans="3:10" x14ac:dyDescent="0.2">
      <c r="C486" s="1" t="s">
        <v>291</v>
      </c>
      <c r="E486" s="16">
        <v>19</v>
      </c>
      <c r="F486" s="3">
        <v>953</v>
      </c>
      <c r="G486" s="3">
        <v>4155</v>
      </c>
      <c r="H486" s="3">
        <v>10683</v>
      </c>
      <c r="I486" s="3">
        <v>21801</v>
      </c>
      <c r="J486" s="3">
        <v>10103</v>
      </c>
    </row>
    <row r="487" spans="3:10" x14ac:dyDescent="0.2">
      <c r="C487" s="1" t="s">
        <v>292</v>
      </c>
      <c r="E487" s="16">
        <v>19</v>
      </c>
      <c r="F487" s="3">
        <v>934</v>
      </c>
      <c r="G487" s="3">
        <v>3937</v>
      </c>
      <c r="H487" s="3">
        <v>9307</v>
      </c>
      <c r="I487" s="3">
        <v>19661</v>
      </c>
      <c r="J487" s="3">
        <v>9284</v>
      </c>
    </row>
    <row r="488" spans="3:10" x14ac:dyDescent="0.2">
      <c r="C488" s="1"/>
      <c r="E488" s="16"/>
      <c r="F488" s="3"/>
      <c r="G488" s="3"/>
      <c r="H488" s="3"/>
      <c r="I488" s="3"/>
      <c r="J488" s="3"/>
    </row>
    <row r="489" spans="3:10" x14ac:dyDescent="0.2">
      <c r="C489" s="1" t="s">
        <v>293</v>
      </c>
      <c r="E489" s="16">
        <v>19</v>
      </c>
      <c r="F489" s="3">
        <v>966</v>
      </c>
      <c r="G489" s="3">
        <v>4196</v>
      </c>
      <c r="H489" s="3">
        <v>8318</v>
      </c>
      <c r="I489" s="3">
        <v>19128</v>
      </c>
      <c r="J489" s="3">
        <v>9133</v>
      </c>
    </row>
    <row r="490" spans="3:10" x14ac:dyDescent="0.2">
      <c r="C490" s="1" t="s">
        <v>294</v>
      </c>
      <c r="E490" s="16">
        <v>16</v>
      </c>
      <c r="F490" s="3">
        <v>847</v>
      </c>
      <c r="G490" s="3">
        <v>3903</v>
      </c>
      <c r="H490" s="3">
        <v>7527</v>
      </c>
      <c r="I490" s="3">
        <v>17788</v>
      </c>
      <c r="J490" s="3">
        <v>9096</v>
      </c>
    </row>
    <row r="491" spans="3:10" x14ac:dyDescent="0.2">
      <c r="C491" s="1" t="s">
        <v>295</v>
      </c>
      <c r="E491" s="16">
        <v>13</v>
      </c>
      <c r="F491" s="3">
        <v>896</v>
      </c>
      <c r="G491" s="3">
        <v>4641</v>
      </c>
      <c r="H491" s="3">
        <v>7461</v>
      </c>
      <c r="I491" s="3">
        <v>19230</v>
      </c>
      <c r="J491" s="3">
        <v>10447</v>
      </c>
    </row>
    <row r="492" spans="3:10" x14ac:dyDescent="0.2">
      <c r="C492" s="1" t="s">
        <v>296</v>
      </c>
      <c r="E492" s="16">
        <v>14</v>
      </c>
      <c r="F492" s="3">
        <v>858</v>
      </c>
      <c r="G492" s="3">
        <v>4536</v>
      </c>
      <c r="H492" s="3">
        <v>7216</v>
      </c>
      <c r="I492" s="3">
        <v>17634</v>
      </c>
      <c r="J492" s="3">
        <v>9102</v>
      </c>
    </row>
    <row r="493" spans="3:10" x14ac:dyDescent="0.2">
      <c r="C493" s="1" t="s">
        <v>297</v>
      </c>
      <c r="E493" s="16">
        <v>16</v>
      </c>
      <c r="F493" s="3">
        <v>916</v>
      </c>
      <c r="G493" s="3">
        <v>4453</v>
      </c>
      <c r="H493" s="3">
        <v>6863</v>
      </c>
      <c r="I493" s="3">
        <v>16489</v>
      </c>
      <c r="J493" s="3">
        <v>8632</v>
      </c>
    </row>
    <row r="494" spans="3:10" x14ac:dyDescent="0.2">
      <c r="C494" s="1" t="s">
        <v>298</v>
      </c>
      <c r="E494" s="16">
        <v>21</v>
      </c>
      <c r="F494" s="3">
        <v>1026</v>
      </c>
      <c r="G494" s="3">
        <v>5152</v>
      </c>
      <c r="H494" s="3">
        <v>8218</v>
      </c>
      <c r="I494" s="3">
        <v>22668</v>
      </c>
      <c r="J494" s="3">
        <v>13047</v>
      </c>
    </row>
    <row r="495" spans="3:10" x14ac:dyDescent="0.2">
      <c r="C495" s="1"/>
      <c r="E495" s="16"/>
      <c r="F495" s="3"/>
      <c r="G495" s="3"/>
      <c r="H495" s="3"/>
      <c r="I495" s="3"/>
      <c r="J495" s="3"/>
    </row>
    <row r="496" spans="3:10" x14ac:dyDescent="0.2">
      <c r="C496" s="1" t="s">
        <v>327</v>
      </c>
      <c r="D496" s="15"/>
      <c r="E496" s="16">
        <v>23</v>
      </c>
      <c r="F496" s="3">
        <v>1119</v>
      </c>
      <c r="G496" s="3">
        <v>4519</v>
      </c>
      <c r="H496" s="3">
        <v>8171</v>
      </c>
      <c r="I496" s="3">
        <v>22992</v>
      </c>
      <c r="J496" s="3">
        <v>13553</v>
      </c>
    </row>
    <row r="497" spans="1:10" x14ac:dyDescent="0.2">
      <c r="C497" s="1" t="s">
        <v>328</v>
      </c>
      <c r="D497" s="80"/>
      <c r="E497" s="16">
        <v>22</v>
      </c>
      <c r="F497" s="3">
        <v>1203</v>
      </c>
      <c r="G497" s="3">
        <v>5152</v>
      </c>
      <c r="H497" s="3">
        <v>9241</v>
      </c>
      <c r="I497" s="3">
        <v>24459</v>
      </c>
      <c r="J497" s="3">
        <v>14065</v>
      </c>
    </row>
    <row r="498" spans="1:10" x14ac:dyDescent="0.2">
      <c r="C498" s="4" t="s">
        <v>329</v>
      </c>
      <c r="D498" s="80"/>
      <c r="E498" s="88">
        <v>23</v>
      </c>
      <c r="F498" s="39">
        <v>953</v>
      </c>
      <c r="G498" s="39">
        <v>4310</v>
      </c>
      <c r="H498" s="39">
        <v>6138</v>
      </c>
      <c r="I498" s="39">
        <v>15783</v>
      </c>
      <c r="J498" s="39">
        <v>8416</v>
      </c>
    </row>
    <row r="499" spans="1:10" ht="18" thickBot="1" x14ac:dyDescent="0.25">
      <c r="B499" s="5"/>
      <c r="C499" s="5"/>
      <c r="D499" s="5"/>
      <c r="E499" s="41"/>
      <c r="F499" s="5"/>
      <c r="G499" s="5"/>
      <c r="H499" s="5"/>
      <c r="I499" s="5"/>
      <c r="J499" s="5"/>
    </row>
    <row r="500" spans="1:10" x14ac:dyDescent="0.2">
      <c r="C500" s="1" t="s">
        <v>336</v>
      </c>
      <c r="D500" s="1"/>
      <c r="F500" s="1"/>
      <c r="G500" s="1" t="s">
        <v>337</v>
      </c>
    </row>
    <row r="501" spans="1:10" x14ac:dyDescent="0.2">
      <c r="D501" s="2" t="s">
        <v>338</v>
      </c>
      <c r="F501" s="1"/>
      <c r="G501" s="1" t="s">
        <v>339</v>
      </c>
    </row>
    <row r="502" spans="1:10" x14ac:dyDescent="0.2">
      <c r="A502" s="1"/>
      <c r="F502" s="1"/>
      <c r="G502" s="1"/>
    </row>
    <row r="503" spans="1:10" x14ac:dyDescent="0.2">
      <c r="A503" s="1"/>
    </row>
    <row r="508" spans="1:10" x14ac:dyDescent="0.2">
      <c r="C508" s="15"/>
      <c r="D508" s="15"/>
      <c r="E508" s="15"/>
      <c r="F508" s="4" t="s">
        <v>303</v>
      </c>
    </row>
    <row r="509" spans="1:10" x14ac:dyDescent="0.2">
      <c r="F509" s="1" t="s">
        <v>304</v>
      </c>
    </row>
    <row r="510" spans="1:10" ht="18" thickBot="1" x14ac:dyDescent="0.25">
      <c r="B510" s="5"/>
      <c r="C510" s="5"/>
      <c r="D510" s="5"/>
      <c r="E510" s="5"/>
      <c r="F510" s="6" t="s">
        <v>331</v>
      </c>
      <c r="G510" s="5"/>
      <c r="H510" s="5"/>
      <c r="I510" s="5"/>
      <c r="J510" s="5"/>
    </row>
    <row r="511" spans="1:10" x14ac:dyDescent="0.2">
      <c r="E511" s="7"/>
      <c r="F511" s="24"/>
      <c r="G511" s="24"/>
      <c r="H511" s="24"/>
      <c r="I511" s="24"/>
      <c r="J511" s="24"/>
    </row>
    <row r="512" spans="1:10" x14ac:dyDescent="0.2">
      <c r="E512" s="11"/>
      <c r="F512" s="10"/>
      <c r="G512" s="26" t="s">
        <v>340</v>
      </c>
      <c r="H512" s="10"/>
      <c r="I512" s="10"/>
      <c r="J512" s="10"/>
    </row>
    <row r="513" spans="2:10" x14ac:dyDescent="0.2">
      <c r="E513" s="7"/>
      <c r="F513" s="7"/>
      <c r="G513" s="7"/>
      <c r="H513" s="8" t="s">
        <v>256</v>
      </c>
      <c r="I513" s="8" t="s">
        <v>257</v>
      </c>
      <c r="J513" s="8" t="s">
        <v>279</v>
      </c>
    </row>
    <row r="514" spans="2:10" x14ac:dyDescent="0.2">
      <c r="B514" s="10"/>
      <c r="C514" s="10"/>
      <c r="D514" s="10"/>
      <c r="E514" s="12" t="s">
        <v>258</v>
      </c>
      <c r="F514" s="12" t="s">
        <v>259</v>
      </c>
      <c r="G514" s="12" t="s">
        <v>6</v>
      </c>
      <c r="H514" s="35" t="s">
        <v>11</v>
      </c>
      <c r="I514" s="35" t="s">
        <v>260</v>
      </c>
      <c r="J514" s="35" t="s">
        <v>261</v>
      </c>
    </row>
    <row r="515" spans="2:10" x14ac:dyDescent="0.2">
      <c r="E515" s="7"/>
      <c r="F515" s="13" t="s">
        <v>14</v>
      </c>
      <c r="G515" s="13" t="s">
        <v>280</v>
      </c>
      <c r="H515" s="13" t="s">
        <v>280</v>
      </c>
      <c r="I515" s="13" t="s">
        <v>280</v>
      </c>
      <c r="J515" s="13" t="s">
        <v>280</v>
      </c>
    </row>
    <row r="516" spans="2:10" x14ac:dyDescent="0.2">
      <c r="C516" s="1" t="s">
        <v>281</v>
      </c>
      <c r="E516" s="16">
        <v>77</v>
      </c>
      <c r="F516" s="3">
        <v>1121</v>
      </c>
      <c r="G516" s="3">
        <v>2224</v>
      </c>
      <c r="H516" s="3">
        <v>11349</v>
      </c>
      <c r="I516" s="3">
        <v>15966</v>
      </c>
      <c r="J516" s="3">
        <v>4262</v>
      </c>
    </row>
    <row r="517" spans="2:10" x14ac:dyDescent="0.2">
      <c r="C517" s="1" t="s">
        <v>282</v>
      </c>
      <c r="E517" s="16">
        <v>72</v>
      </c>
      <c r="F517" s="3">
        <v>1071</v>
      </c>
      <c r="G517" s="3">
        <v>2235</v>
      </c>
      <c r="H517" s="3">
        <v>10831</v>
      </c>
      <c r="I517" s="3">
        <v>15133</v>
      </c>
      <c r="J517" s="3">
        <v>4328</v>
      </c>
    </row>
    <row r="518" spans="2:10" x14ac:dyDescent="0.2">
      <c r="C518" s="1" t="s">
        <v>283</v>
      </c>
      <c r="E518" s="16">
        <v>65</v>
      </c>
      <c r="F518" s="3">
        <v>939</v>
      </c>
      <c r="G518" s="3">
        <v>2096</v>
      </c>
      <c r="H518" s="3">
        <v>10109</v>
      </c>
      <c r="I518" s="3">
        <v>13966</v>
      </c>
      <c r="J518" s="3">
        <v>3426</v>
      </c>
    </row>
    <row r="519" spans="2:10" x14ac:dyDescent="0.2">
      <c r="C519" s="1" t="s">
        <v>284</v>
      </c>
      <c r="E519" s="16">
        <v>66</v>
      </c>
      <c r="F519" s="3">
        <v>987</v>
      </c>
      <c r="G519" s="3">
        <v>2092</v>
      </c>
      <c r="H519" s="3">
        <v>9705</v>
      </c>
      <c r="I519" s="3">
        <v>13545</v>
      </c>
      <c r="J519" s="3">
        <v>3915</v>
      </c>
    </row>
    <row r="520" spans="2:10" x14ac:dyDescent="0.2">
      <c r="C520" s="1" t="s">
        <v>285</v>
      </c>
      <c r="E520" s="16">
        <v>58</v>
      </c>
      <c r="F520" s="3">
        <v>969</v>
      </c>
      <c r="G520" s="3">
        <v>2178</v>
      </c>
      <c r="H520" s="3">
        <v>10764</v>
      </c>
      <c r="I520" s="3">
        <v>14958</v>
      </c>
      <c r="J520" s="3">
        <v>3822</v>
      </c>
    </row>
    <row r="521" spans="2:10" x14ac:dyDescent="0.2">
      <c r="C521" s="1" t="s">
        <v>286</v>
      </c>
      <c r="E521" s="16">
        <v>48</v>
      </c>
      <c r="F521" s="3">
        <v>858</v>
      </c>
      <c r="G521" s="3">
        <v>1906</v>
      </c>
      <c r="H521" s="3">
        <v>8207</v>
      </c>
      <c r="I521" s="3">
        <v>12204</v>
      </c>
      <c r="J521" s="3">
        <v>3739</v>
      </c>
    </row>
    <row r="522" spans="2:10" x14ac:dyDescent="0.2">
      <c r="C522" s="1"/>
      <c r="E522" s="16"/>
      <c r="F522" s="3"/>
      <c r="G522" s="3"/>
      <c r="H522" s="3"/>
      <c r="I522" s="3"/>
      <c r="J522" s="3"/>
    </row>
    <row r="523" spans="2:10" x14ac:dyDescent="0.2">
      <c r="C523" s="1" t="s">
        <v>287</v>
      </c>
      <c r="E523" s="16">
        <v>46</v>
      </c>
      <c r="F523" s="3">
        <v>775</v>
      </c>
      <c r="G523" s="3">
        <v>1610</v>
      </c>
      <c r="H523" s="3">
        <v>5981</v>
      </c>
      <c r="I523" s="3">
        <v>9252</v>
      </c>
      <c r="J523" s="3">
        <v>3004</v>
      </c>
    </row>
    <row r="524" spans="2:10" x14ac:dyDescent="0.2">
      <c r="C524" s="1" t="s">
        <v>288</v>
      </c>
      <c r="E524" s="16">
        <v>51</v>
      </c>
      <c r="F524" s="3">
        <v>758</v>
      </c>
      <c r="G524" s="3">
        <v>1545</v>
      </c>
      <c r="H524" s="3">
        <v>7143</v>
      </c>
      <c r="I524" s="3">
        <v>10299</v>
      </c>
      <c r="J524" s="3">
        <v>3225</v>
      </c>
    </row>
    <row r="525" spans="2:10" x14ac:dyDescent="0.2">
      <c r="C525" s="1" t="s">
        <v>289</v>
      </c>
      <c r="E525" s="16">
        <v>47</v>
      </c>
      <c r="F525" s="3">
        <v>711</v>
      </c>
      <c r="G525" s="3">
        <v>1502</v>
      </c>
      <c r="H525" s="3">
        <v>6218</v>
      </c>
      <c r="I525" s="3">
        <v>9569</v>
      </c>
      <c r="J525" s="3">
        <v>3168</v>
      </c>
    </row>
    <row r="526" spans="2:10" x14ac:dyDescent="0.2">
      <c r="C526" s="1" t="s">
        <v>290</v>
      </c>
      <c r="E526" s="16">
        <v>46</v>
      </c>
      <c r="F526" s="3">
        <v>692</v>
      </c>
      <c r="G526" s="3">
        <v>1594</v>
      </c>
      <c r="H526" s="3">
        <v>7157</v>
      </c>
      <c r="I526" s="3">
        <v>10935</v>
      </c>
      <c r="J526" s="3">
        <v>3630</v>
      </c>
    </row>
    <row r="527" spans="2:10" x14ac:dyDescent="0.2">
      <c r="C527" s="1" t="s">
        <v>291</v>
      </c>
      <c r="E527" s="16">
        <v>39</v>
      </c>
      <c r="F527" s="3">
        <v>685</v>
      </c>
      <c r="G527" s="3">
        <v>1593</v>
      </c>
      <c r="H527" s="3">
        <v>6616</v>
      </c>
      <c r="I527" s="3">
        <v>10682</v>
      </c>
      <c r="J527" s="3">
        <v>3860</v>
      </c>
    </row>
    <row r="528" spans="2:10" x14ac:dyDescent="0.2">
      <c r="C528" s="1" t="s">
        <v>292</v>
      </c>
      <c r="E528" s="16">
        <v>37</v>
      </c>
      <c r="F528" s="3">
        <v>590</v>
      </c>
      <c r="G528" s="3">
        <v>1569</v>
      </c>
      <c r="H528" s="3">
        <v>5754</v>
      </c>
      <c r="I528" s="3">
        <v>8756</v>
      </c>
      <c r="J528" s="3">
        <v>2737</v>
      </c>
    </row>
    <row r="529" spans="2:10" x14ac:dyDescent="0.2">
      <c r="C529" s="1"/>
      <c r="E529" s="16"/>
      <c r="F529" s="3"/>
      <c r="G529" s="3"/>
      <c r="H529" s="3"/>
      <c r="I529" s="3"/>
      <c r="J529" s="3"/>
    </row>
    <row r="530" spans="2:10" x14ac:dyDescent="0.2">
      <c r="C530" s="1" t="s">
        <v>293</v>
      </c>
      <c r="E530" s="16">
        <v>37</v>
      </c>
      <c r="F530" s="3">
        <v>560</v>
      </c>
      <c r="G530" s="3">
        <v>1541</v>
      </c>
      <c r="H530" s="3">
        <v>5021</v>
      </c>
      <c r="I530" s="3">
        <v>7885</v>
      </c>
      <c r="J530" s="3">
        <v>2736</v>
      </c>
    </row>
    <row r="531" spans="2:10" x14ac:dyDescent="0.2">
      <c r="C531" s="1" t="s">
        <v>294</v>
      </c>
      <c r="E531" s="16">
        <v>33</v>
      </c>
      <c r="F531" s="3">
        <v>507</v>
      </c>
      <c r="G531" s="3">
        <v>1370</v>
      </c>
      <c r="H531" s="3">
        <v>4806</v>
      </c>
      <c r="I531" s="3">
        <v>7259</v>
      </c>
      <c r="J531" s="3">
        <v>2300</v>
      </c>
    </row>
    <row r="532" spans="2:10" x14ac:dyDescent="0.2">
      <c r="C532" s="1" t="s">
        <v>295</v>
      </c>
      <c r="E532" s="16">
        <v>34</v>
      </c>
      <c r="F532" s="3">
        <v>537</v>
      </c>
      <c r="G532" s="3">
        <v>1336</v>
      </c>
      <c r="H532" s="3">
        <v>5020</v>
      </c>
      <c r="I532" s="3">
        <v>7424</v>
      </c>
      <c r="J532" s="3">
        <v>2234</v>
      </c>
    </row>
    <row r="533" spans="2:10" x14ac:dyDescent="0.2">
      <c r="C533" s="1" t="s">
        <v>296</v>
      </c>
      <c r="E533" s="16">
        <v>36</v>
      </c>
      <c r="F533" s="3">
        <v>528</v>
      </c>
      <c r="G533" s="3">
        <v>1351</v>
      </c>
      <c r="H533" s="3">
        <v>4827</v>
      </c>
      <c r="I533" s="3">
        <v>7413</v>
      </c>
      <c r="J533" s="3">
        <v>2630</v>
      </c>
    </row>
    <row r="534" spans="2:10" x14ac:dyDescent="0.2">
      <c r="C534" s="1" t="s">
        <v>297</v>
      </c>
      <c r="E534" s="16">
        <v>35</v>
      </c>
      <c r="F534" s="3">
        <v>447</v>
      </c>
      <c r="G534" s="3">
        <v>1168</v>
      </c>
      <c r="H534" s="3">
        <v>4299</v>
      </c>
      <c r="I534" s="3">
        <v>6759</v>
      </c>
      <c r="J534" s="3">
        <v>2327</v>
      </c>
    </row>
    <row r="535" spans="2:10" x14ac:dyDescent="0.2">
      <c r="C535" s="1" t="s">
        <v>298</v>
      </c>
      <c r="E535" s="16">
        <v>32</v>
      </c>
      <c r="F535" s="3">
        <v>406</v>
      </c>
      <c r="G535" s="3">
        <v>962</v>
      </c>
      <c r="H535" s="3">
        <v>3302</v>
      </c>
      <c r="I535" s="3">
        <v>5084</v>
      </c>
      <c r="J535" s="3">
        <v>1508</v>
      </c>
    </row>
    <row r="536" spans="2:10" x14ac:dyDescent="0.2">
      <c r="C536" s="1"/>
      <c r="E536" s="16"/>
      <c r="F536" s="3"/>
      <c r="G536" s="3"/>
      <c r="H536" s="3"/>
      <c r="I536" s="3"/>
      <c r="J536" s="3"/>
    </row>
    <row r="537" spans="2:10" x14ac:dyDescent="0.2">
      <c r="C537" s="1" t="s">
        <v>327</v>
      </c>
      <c r="D537" s="15"/>
      <c r="E537" s="16">
        <v>29</v>
      </c>
      <c r="F537" s="3">
        <v>369</v>
      </c>
      <c r="G537" s="3">
        <v>853</v>
      </c>
      <c r="H537" s="3">
        <v>2849</v>
      </c>
      <c r="I537" s="3">
        <v>4463</v>
      </c>
      <c r="J537" s="3">
        <v>1501</v>
      </c>
    </row>
    <row r="538" spans="2:10" x14ac:dyDescent="0.2">
      <c r="C538" s="1" t="s">
        <v>328</v>
      </c>
      <c r="D538" s="80"/>
      <c r="E538" s="16">
        <v>23</v>
      </c>
      <c r="F538" s="3">
        <v>275</v>
      </c>
      <c r="G538" s="3">
        <v>648</v>
      </c>
      <c r="H538" s="3">
        <v>1975</v>
      </c>
      <c r="I538" s="3">
        <v>3247</v>
      </c>
      <c r="J538" s="3">
        <v>1127</v>
      </c>
    </row>
    <row r="539" spans="2:10" x14ac:dyDescent="0.2">
      <c r="C539" s="4" t="s">
        <v>329</v>
      </c>
      <c r="D539" s="80"/>
      <c r="E539" s="88">
        <v>24</v>
      </c>
      <c r="F539" s="39">
        <v>239</v>
      </c>
      <c r="G539" s="39">
        <v>540</v>
      </c>
      <c r="H539" s="39">
        <v>1574</v>
      </c>
      <c r="I539" s="39">
        <v>2649</v>
      </c>
      <c r="J539" s="39">
        <v>1051</v>
      </c>
    </row>
    <row r="540" spans="2:10" ht="18" thickBot="1" x14ac:dyDescent="0.25">
      <c r="B540" s="5"/>
      <c r="C540" s="5"/>
      <c r="D540" s="5"/>
      <c r="E540" s="41"/>
      <c r="F540" s="5"/>
      <c r="G540" s="5"/>
      <c r="H540" s="5"/>
      <c r="I540" s="5"/>
      <c r="J540" s="5"/>
    </row>
    <row r="541" spans="2:10" x14ac:dyDescent="0.2">
      <c r="E541" s="7"/>
      <c r="F541" s="24"/>
      <c r="G541" s="24"/>
      <c r="H541" s="24"/>
      <c r="I541" s="24"/>
      <c r="J541" s="24"/>
    </row>
    <row r="542" spans="2:10" x14ac:dyDescent="0.2">
      <c r="E542" s="11"/>
      <c r="F542" s="10"/>
      <c r="G542" s="26" t="s">
        <v>341</v>
      </c>
      <c r="H542" s="10"/>
      <c r="I542" s="10"/>
      <c r="J542" s="10"/>
    </row>
    <row r="543" spans="2:10" x14ac:dyDescent="0.2">
      <c r="E543" s="7"/>
      <c r="F543" s="7"/>
      <c r="G543" s="7"/>
      <c r="H543" s="8" t="s">
        <v>256</v>
      </c>
      <c r="I543" s="8" t="s">
        <v>257</v>
      </c>
      <c r="J543" s="8" t="s">
        <v>279</v>
      </c>
    </row>
    <row r="544" spans="2:10" x14ac:dyDescent="0.2">
      <c r="B544" s="10"/>
      <c r="C544" s="10"/>
      <c r="D544" s="10"/>
      <c r="E544" s="12" t="s">
        <v>258</v>
      </c>
      <c r="F544" s="12" t="s">
        <v>259</v>
      </c>
      <c r="G544" s="12" t="s">
        <v>6</v>
      </c>
      <c r="H544" s="35" t="s">
        <v>11</v>
      </c>
      <c r="I544" s="35" t="s">
        <v>260</v>
      </c>
      <c r="J544" s="35" t="s">
        <v>261</v>
      </c>
    </row>
    <row r="545" spans="3:10" x14ac:dyDescent="0.2">
      <c r="E545" s="7"/>
      <c r="F545" s="13" t="s">
        <v>14</v>
      </c>
      <c r="G545" s="13" t="s">
        <v>280</v>
      </c>
      <c r="H545" s="13" t="s">
        <v>280</v>
      </c>
      <c r="I545" s="13" t="s">
        <v>280</v>
      </c>
      <c r="J545" s="13" t="s">
        <v>280</v>
      </c>
    </row>
    <row r="546" spans="3:10" x14ac:dyDescent="0.2">
      <c r="C546" s="1" t="s">
        <v>281</v>
      </c>
      <c r="E546" s="16">
        <v>146</v>
      </c>
      <c r="F546" s="3">
        <v>3108</v>
      </c>
      <c r="G546" s="3">
        <v>8048</v>
      </c>
      <c r="H546" s="3">
        <v>31663</v>
      </c>
      <c r="I546" s="3">
        <v>57845</v>
      </c>
      <c r="J546" s="3">
        <v>24979</v>
      </c>
    </row>
    <row r="547" spans="3:10" x14ac:dyDescent="0.2">
      <c r="C547" s="1" t="s">
        <v>282</v>
      </c>
      <c r="E547" s="16">
        <v>149</v>
      </c>
      <c r="F547" s="3">
        <v>2935</v>
      </c>
      <c r="G547" s="3">
        <v>7686</v>
      </c>
      <c r="H547" s="3">
        <v>30973</v>
      </c>
      <c r="I547" s="3">
        <v>54857</v>
      </c>
      <c r="J547" s="3">
        <v>22286</v>
      </c>
    </row>
    <row r="548" spans="3:10" x14ac:dyDescent="0.2">
      <c r="C548" s="1" t="s">
        <v>283</v>
      </c>
      <c r="E548" s="16">
        <v>149</v>
      </c>
      <c r="F548" s="3">
        <v>2712</v>
      </c>
      <c r="G548" s="3">
        <v>7069</v>
      </c>
      <c r="H548" s="3">
        <v>29137</v>
      </c>
      <c r="I548" s="3">
        <v>51565</v>
      </c>
      <c r="J548" s="3">
        <v>20404</v>
      </c>
    </row>
    <row r="549" spans="3:10" x14ac:dyDescent="0.2">
      <c r="C549" s="1" t="s">
        <v>284</v>
      </c>
      <c r="E549" s="16">
        <v>142</v>
      </c>
      <c r="F549" s="3">
        <v>2676</v>
      </c>
      <c r="G549" s="3">
        <v>7314</v>
      </c>
      <c r="H549" s="3">
        <v>26130</v>
      </c>
      <c r="I549" s="3">
        <v>46525</v>
      </c>
      <c r="J549" s="3">
        <v>19152</v>
      </c>
    </row>
    <row r="550" spans="3:10" x14ac:dyDescent="0.2">
      <c r="C550" s="1" t="s">
        <v>285</v>
      </c>
      <c r="E550" s="16">
        <v>143</v>
      </c>
      <c r="F550" s="3">
        <v>2533</v>
      </c>
      <c r="G550" s="3">
        <v>7730</v>
      </c>
      <c r="H550" s="3">
        <v>22746</v>
      </c>
      <c r="I550" s="3">
        <v>42815</v>
      </c>
      <c r="J550" s="3">
        <v>17929</v>
      </c>
    </row>
    <row r="551" spans="3:10" x14ac:dyDescent="0.2">
      <c r="C551" s="1" t="s">
        <v>286</v>
      </c>
      <c r="E551" s="16">
        <v>147</v>
      </c>
      <c r="F551" s="3">
        <v>2491</v>
      </c>
      <c r="G551" s="3">
        <v>7566</v>
      </c>
      <c r="H551" s="3">
        <v>22077</v>
      </c>
      <c r="I551" s="3">
        <v>41838</v>
      </c>
      <c r="J551" s="3">
        <v>18583</v>
      </c>
    </row>
    <row r="552" spans="3:10" x14ac:dyDescent="0.2">
      <c r="C552" s="1"/>
      <c r="E552" s="16"/>
      <c r="F552" s="3"/>
      <c r="G552" s="3"/>
      <c r="H552" s="3"/>
      <c r="I552" s="3"/>
      <c r="J552" s="3"/>
    </row>
    <row r="553" spans="3:10" x14ac:dyDescent="0.2">
      <c r="C553" s="1" t="s">
        <v>287</v>
      </c>
      <c r="E553" s="16">
        <v>143</v>
      </c>
      <c r="F553" s="3">
        <v>2491</v>
      </c>
      <c r="G553" s="3">
        <v>7590</v>
      </c>
      <c r="H553" s="3">
        <v>21038</v>
      </c>
      <c r="I553" s="3">
        <v>40231</v>
      </c>
      <c r="J553" s="3">
        <v>18560</v>
      </c>
    </row>
    <row r="554" spans="3:10" x14ac:dyDescent="0.2">
      <c r="C554" s="1" t="s">
        <v>288</v>
      </c>
      <c r="E554" s="16">
        <v>148</v>
      </c>
      <c r="F554" s="3">
        <v>2556</v>
      </c>
      <c r="G554" s="3">
        <v>8241</v>
      </c>
      <c r="H554" s="3">
        <v>23888</v>
      </c>
      <c r="I554" s="3">
        <v>45796</v>
      </c>
      <c r="J554" s="3">
        <v>20036</v>
      </c>
    </row>
    <row r="555" spans="3:10" x14ac:dyDescent="0.2">
      <c r="C555" s="1" t="s">
        <v>289</v>
      </c>
      <c r="E555" s="16">
        <v>146</v>
      </c>
      <c r="F555" s="3">
        <v>2530</v>
      </c>
      <c r="G555" s="3">
        <v>8870</v>
      </c>
      <c r="H555" s="3">
        <v>24255</v>
      </c>
      <c r="I555" s="3">
        <v>48372</v>
      </c>
      <c r="J555" s="3">
        <v>21990</v>
      </c>
    </row>
    <row r="556" spans="3:10" x14ac:dyDescent="0.2">
      <c r="C556" s="1" t="s">
        <v>290</v>
      </c>
      <c r="E556" s="16">
        <v>149</v>
      </c>
      <c r="F556" s="3">
        <v>2555</v>
      </c>
      <c r="G556" s="3">
        <v>9164</v>
      </c>
      <c r="H556" s="3">
        <v>27233</v>
      </c>
      <c r="I556" s="3">
        <v>52859</v>
      </c>
      <c r="J556" s="3">
        <v>23807</v>
      </c>
    </row>
    <row r="557" spans="3:10" x14ac:dyDescent="0.2">
      <c r="C557" s="1" t="s">
        <v>291</v>
      </c>
      <c r="E557" s="16">
        <v>146</v>
      </c>
      <c r="F557" s="3">
        <v>2430</v>
      </c>
      <c r="G557" s="3">
        <v>9141</v>
      </c>
      <c r="H557" s="3">
        <v>28690</v>
      </c>
      <c r="I557" s="3">
        <v>55221</v>
      </c>
      <c r="J557" s="3">
        <v>24269</v>
      </c>
    </row>
    <row r="558" spans="3:10" x14ac:dyDescent="0.2">
      <c r="C558" s="1" t="s">
        <v>292</v>
      </c>
      <c r="E558" s="16">
        <v>150</v>
      </c>
      <c r="F558" s="3">
        <v>2594</v>
      </c>
      <c r="G558" s="3">
        <v>9994</v>
      </c>
      <c r="H558" s="3">
        <v>32363</v>
      </c>
      <c r="I558" s="3">
        <v>58248</v>
      </c>
      <c r="J558" s="3">
        <v>23962</v>
      </c>
    </row>
    <row r="559" spans="3:10" x14ac:dyDescent="0.2">
      <c r="C559" s="1"/>
      <c r="E559" s="16"/>
      <c r="F559" s="3"/>
      <c r="G559" s="3"/>
      <c r="H559" s="3"/>
      <c r="I559" s="3"/>
      <c r="J559" s="3"/>
    </row>
    <row r="560" spans="3:10" x14ac:dyDescent="0.2">
      <c r="C560" s="1" t="s">
        <v>293</v>
      </c>
      <c r="E560" s="16">
        <v>144</v>
      </c>
      <c r="F560" s="3">
        <v>2446</v>
      </c>
      <c r="G560" s="3">
        <v>9842</v>
      </c>
      <c r="H560" s="3">
        <v>29589</v>
      </c>
      <c r="I560" s="3">
        <v>59434</v>
      </c>
      <c r="J560" s="3">
        <v>25981</v>
      </c>
    </row>
    <row r="561" spans="1:10" x14ac:dyDescent="0.2">
      <c r="C561" s="1" t="s">
        <v>294</v>
      </c>
      <c r="E561" s="16">
        <v>139</v>
      </c>
      <c r="F561" s="3">
        <v>2453</v>
      </c>
      <c r="G561" s="3">
        <v>10136</v>
      </c>
      <c r="H561" s="3">
        <v>30197</v>
      </c>
      <c r="I561" s="3">
        <v>59780</v>
      </c>
      <c r="J561" s="3">
        <v>26713</v>
      </c>
    </row>
    <row r="562" spans="1:10" x14ac:dyDescent="0.2">
      <c r="C562" s="1" t="s">
        <v>295</v>
      </c>
      <c r="E562" s="16">
        <v>146</v>
      </c>
      <c r="F562" s="3">
        <v>2502</v>
      </c>
      <c r="G562" s="3">
        <v>10348</v>
      </c>
      <c r="H562" s="3">
        <v>28830</v>
      </c>
      <c r="I562" s="3">
        <v>58592</v>
      </c>
      <c r="J562" s="3">
        <v>26133</v>
      </c>
    </row>
    <row r="563" spans="1:10" x14ac:dyDescent="0.2">
      <c r="C563" s="1" t="s">
        <v>296</v>
      </c>
      <c r="E563" s="16">
        <v>134</v>
      </c>
      <c r="F563" s="3">
        <v>2420</v>
      </c>
      <c r="G563" s="3">
        <v>10496</v>
      </c>
      <c r="H563" s="3">
        <v>26657</v>
      </c>
      <c r="I563" s="3">
        <v>57133</v>
      </c>
      <c r="J563" s="3">
        <v>27074</v>
      </c>
    </row>
    <row r="564" spans="1:10" x14ac:dyDescent="0.2">
      <c r="C564" s="1" t="s">
        <v>297</v>
      </c>
      <c r="E564" s="16">
        <v>129</v>
      </c>
      <c r="F564" s="3">
        <v>2424</v>
      </c>
      <c r="G564" s="3">
        <v>10252</v>
      </c>
      <c r="H564" s="3">
        <v>26936</v>
      </c>
      <c r="I564" s="3">
        <v>52993</v>
      </c>
      <c r="J564" s="3">
        <v>23652</v>
      </c>
    </row>
    <row r="565" spans="1:10" x14ac:dyDescent="0.2">
      <c r="C565" s="1" t="s">
        <v>298</v>
      </c>
      <c r="E565" s="16">
        <v>144</v>
      </c>
      <c r="F565" s="3">
        <v>2445</v>
      </c>
      <c r="G565" s="3">
        <v>10265</v>
      </c>
      <c r="H565" s="3">
        <v>25641</v>
      </c>
      <c r="I565" s="3">
        <v>50268</v>
      </c>
      <c r="J565" s="3">
        <v>21464</v>
      </c>
    </row>
    <row r="566" spans="1:10" x14ac:dyDescent="0.2">
      <c r="C566" s="1"/>
      <c r="E566" s="16"/>
      <c r="F566" s="3"/>
      <c r="G566" s="3"/>
      <c r="H566" s="3"/>
      <c r="I566" s="3"/>
      <c r="J566" s="3"/>
    </row>
    <row r="567" spans="1:10" x14ac:dyDescent="0.2">
      <c r="C567" s="1" t="s">
        <v>327</v>
      </c>
      <c r="D567" s="15"/>
      <c r="E567" s="16">
        <v>138</v>
      </c>
      <c r="F567" s="3">
        <v>2332</v>
      </c>
      <c r="G567" s="3">
        <v>10140</v>
      </c>
      <c r="H567" s="3">
        <v>25104</v>
      </c>
      <c r="I567" s="3">
        <v>50695</v>
      </c>
      <c r="J567" s="3">
        <v>21658</v>
      </c>
    </row>
    <row r="568" spans="1:10" x14ac:dyDescent="0.2">
      <c r="C568" s="1" t="s">
        <v>328</v>
      </c>
      <c r="D568" s="80"/>
      <c r="E568" s="16">
        <v>141</v>
      </c>
      <c r="F568" s="3">
        <v>2291</v>
      </c>
      <c r="G568" s="3">
        <v>9804</v>
      </c>
      <c r="H568" s="3">
        <v>24715</v>
      </c>
      <c r="I568" s="3">
        <v>48545</v>
      </c>
      <c r="J568" s="3">
        <v>20677</v>
      </c>
    </row>
    <row r="569" spans="1:10" x14ac:dyDescent="0.2">
      <c r="C569" s="4" t="s">
        <v>329</v>
      </c>
      <c r="D569" s="15"/>
      <c r="E569" s="88">
        <v>139</v>
      </c>
      <c r="F569" s="39">
        <v>2086</v>
      </c>
      <c r="G569" s="39">
        <v>8946</v>
      </c>
      <c r="H569" s="39">
        <v>21497</v>
      </c>
      <c r="I569" s="39">
        <v>42896</v>
      </c>
      <c r="J569" s="39">
        <v>19698</v>
      </c>
    </row>
    <row r="570" spans="1:10" ht="18" thickBot="1" x14ac:dyDescent="0.25">
      <c r="B570" s="5"/>
      <c r="C570" s="5"/>
      <c r="D570" s="5"/>
      <c r="E570" s="41"/>
      <c r="F570" s="5"/>
      <c r="G570" s="5"/>
      <c r="H570" s="5"/>
      <c r="I570" s="5"/>
      <c r="J570" s="5"/>
    </row>
    <row r="571" spans="1:10" x14ac:dyDescent="0.2">
      <c r="D571" s="1" t="s">
        <v>273</v>
      </c>
      <c r="E571" s="1"/>
      <c r="H571" s="1" t="s">
        <v>330</v>
      </c>
    </row>
    <row r="572" spans="1:10" x14ac:dyDescent="0.2">
      <c r="H572" s="1"/>
    </row>
    <row r="574" spans="1:10" x14ac:dyDescent="0.2">
      <c r="A574" s="1"/>
    </row>
    <row r="575" spans="1:10" x14ac:dyDescent="0.2">
      <c r="A575" s="1"/>
    </row>
    <row r="580" spans="2:10" x14ac:dyDescent="0.2">
      <c r="C580" s="15"/>
      <c r="D580" s="15"/>
      <c r="E580" s="15"/>
      <c r="F580" s="4" t="s">
        <v>303</v>
      </c>
    </row>
    <row r="581" spans="2:10" x14ac:dyDescent="0.2">
      <c r="F581" s="1" t="s">
        <v>304</v>
      </c>
    </row>
    <row r="582" spans="2:10" ht="18" thickBot="1" x14ac:dyDescent="0.25">
      <c r="B582" s="5"/>
      <c r="C582" s="5"/>
      <c r="D582" s="5"/>
      <c r="E582" s="5"/>
      <c r="F582" s="6" t="s">
        <v>331</v>
      </c>
      <c r="G582" s="5"/>
      <c r="H582" s="5"/>
      <c r="I582" s="5"/>
      <c r="J582" s="5"/>
    </row>
    <row r="583" spans="2:10" x14ac:dyDescent="0.2">
      <c r="E583" s="7"/>
      <c r="F583" s="24"/>
      <c r="G583" s="24"/>
      <c r="H583" s="24"/>
      <c r="I583" s="24"/>
      <c r="J583" s="24"/>
    </row>
    <row r="584" spans="2:10" x14ac:dyDescent="0.2">
      <c r="E584" s="11"/>
      <c r="F584" s="10"/>
      <c r="G584" s="26" t="s">
        <v>342</v>
      </c>
      <c r="H584" s="10"/>
      <c r="I584" s="10"/>
      <c r="J584" s="10"/>
    </row>
    <row r="585" spans="2:10" x14ac:dyDescent="0.2">
      <c r="E585" s="7"/>
      <c r="F585" s="7"/>
      <c r="G585" s="7"/>
      <c r="H585" s="8" t="s">
        <v>256</v>
      </c>
      <c r="I585" s="8" t="s">
        <v>257</v>
      </c>
      <c r="J585" s="8" t="s">
        <v>279</v>
      </c>
    </row>
    <row r="586" spans="2:10" x14ac:dyDescent="0.2">
      <c r="B586" s="10"/>
      <c r="C586" s="10"/>
      <c r="D586" s="10"/>
      <c r="E586" s="12" t="s">
        <v>258</v>
      </c>
      <c r="F586" s="12" t="s">
        <v>259</v>
      </c>
      <c r="G586" s="12" t="s">
        <v>6</v>
      </c>
      <c r="H586" s="35" t="s">
        <v>11</v>
      </c>
      <c r="I586" s="35" t="s">
        <v>260</v>
      </c>
      <c r="J586" s="35" t="s">
        <v>261</v>
      </c>
    </row>
    <row r="587" spans="2:10" x14ac:dyDescent="0.2">
      <c r="E587" s="7"/>
      <c r="F587" s="13" t="s">
        <v>14</v>
      </c>
      <c r="G587" s="13" t="s">
        <v>280</v>
      </c>
      <c r="H587" s="13" t="s">
        <v>280</v>
      </c>
      <c r="I587" s="13" t="s">
        <v>280</v>
      </c>
      <c r="J587" s="13" t="s">
        <v>280</v>
      </c>
    </row>
    <row r="588" spans="2:10" x14ac:dyDescent="0.2">
      <c r="C588" s="1" t="s">
        <v>281</v>
      </c>
      <c r="E588" s="16">
        <v>54</v>
      </c>
      <c r="F588" s="3">
        <v>12667</v>
      </c>
      <c r="G588" s="3">
        <v>53293</v>
      </c>
      <c r="H588" s="3">
        <v>370239</v>
      </c>
      <c r="I588" s="3">
        <v>726817</v>
      </c>
      <c r="J588" s="3">
        <v>321512</v>
      </c>
    </row>
    <row r="589" spans="2:10" x14ac:dyDescent="0.2">
      <c r="C589" s="1" t="s">
        <v>282</v>
      </c>
      <c r="E589" s="16">
        <v>53</v>
      </c>
      <c r="F589" s="3">
        <v>12731</v>
      </c>
      <c r="G589" s="3">
        <v>58249</v>
      </c>
      <c r="H589" s="3">
        <v>373146</v>
      </c>
      <c r="I589" s="3">
        <v>752979</v>
      </c>
      <c r="J589" s="3">
        <v>329844</v>
      </c>
    </row>
    <row r="590" spans="2:10" x14ac:dyDescent="0.2">
      <c r="C590" s="1" t="s">
        <v>283</v>
      </c>
      <c r="E590" s="16">
        <v>44</v>
      </c>
      <c r="F590" s="3">
        <v>13082</v>
      </c>
      <c r="G590" s="3">
        <v>60866</v>
      </c>
      <c r="H590" s="3">
        <v>305954</v>
      </c>
      <c r="I590" s="3">
        <v>500744</v>
      </c>
      <c r="J590" s="3">
        <v>161082</v>
      </c>
    </row>
    <row r="591" spans="2:10" x14ac:dyDescent="0.2">
      <c r="C591" s="1" t="s">
        <v>284</v>
      </c>
      <c r="E591" s="16">
        <v>43</v>
      </c>
      <c r="F591" s="3">
        <v>12441</v>
      </c>
      <c r="G591" s="3">
        <v>56514</v>
      </c>
      <c r="H591" s="3">
        <v>328270</v>
      </c>
      <c r="I591" s="3">
        <v>551719</v>
      </c>
      <c r="J591" s="3">
        <v>188873</v>
      </c>
    </row>
    <row r="592" spans="2:10" x14ac:dyDescent="0.2">
      <c r="C592" s="1" t="s">
        <v>285</v>
      </c>
      <c r="E592" s="16">
        <v>46</v>
      </c>
      <c r="F592" s="3">
        <v>12187</v>
      </c>
      <c r="G592" s="3">
        <v>62554</v>
      </c>
      <c r="H592" s="3">
        <v>370026</v>
      </c>
      <c r="I592" s="3">
        <v>610844</v>
      </c>
      <c r="J592" s="3">
        <v>209316</v>
      </c>
    </row>
    <row r="593" spans="3:10" x14ac:dyDescent="0.2">
      <c r="C593" s="1" t="s">
        <v>286</v>
      </c>
      <c r="E593" s="16">
        <v>50</v>
      </c>
      <c r="F593" s="3">
        <v>10658</v>
      </c>
      <c r="G593" s="3">
        <v>54987</v>
      </c>
      <c r="H593" s="3">
        <v>288183</v>
      </c>
      <c r="I593" s="3">
        <v>452362</v>
      </c>
      <c r="J593" s="3">
        <v>115074</v>
      </c>
    </row>
    <row r="594" spans="3:10" x14ac:dyDescent="0.2">
      <c r="C594" s="1"/>
      <c r="E594" s="16"/>
      <c r="F594" s="3"/>
      <c r="G594" s="3"/>
      <c r="H594" s="3"/>
      <c r="I594" s="3"/>
      <c r="J594" s="3"/>
    </row>
    <row r="595" spans="3:10" x14ac:dyDescent="0.2">
      <c r="C595" s="1" t="s">
        <v>287</v>
      </c>
      <c r="E595" s="16">
        <v>45</v>
      </c>
      <c r="F595" s="3">
        <v>9955</v>
      </c>
      <c r="G595" s="3">
        <v>51814</v>
      </c>
      <c r="H595" s="3">
        <v>263305</v>
      </c>
      <c r="I595" s="3">
        <v>404159</v>
      </c>
      <c r="J595" s="3">
        <v>106194</v>
      </c>
    </row>
    <row r="596" spans="3:10" x14ac:dyDescent="0.2">
      <c r="C596" s="1" t="s">
        <v>288</v>
      </c>
      <c r="E596" s="16">
        <v>44</v>
      </c>
      <c r="F596" s="3">
        <v>9041</v>
      </c>
      <c r="G596" s="3">
        <v>51219</v>
      </c>
      <c r="H596" s="3">
        <v>293090</v>
      </c>
      <c r="I596" s="3">
        <v>493272</v>
      </c>
      <c r="J596" s="3">
        <v>150516</v>
      </c>
    </row>
    <row r="597" spans="3:10" x14ac:dyDescent="0.2">
      <c r="C597" s="1" t="s">
        <v>289</v>
      </c>
      <c r="E597" s="16">
        <v>39</v>
      </c>
      <c r="F597" s="3">
        <v>7950</v>
      </c>
      <c r="G597" s="3">
        <v>47973</v>
      </c>
      <c r="H597" s="3">
        <v>362499</v>
      </c>
      <c r="I597" s="3">
        <v>529009</v>
      </c>
      <c r="J597" s="3">
        <v>126749</v>
      </c>
    </row>
    <row r="598" spans="3:10" x14ac:dyDescent="0.2">
      <c r="C598" s="1" t="s">
        <v>290</v>
      </c>
      <c r="E598" s="16">
        <v>41</v>
      </c>
      <c r="F598" s="3">
        <v>7694</v>
      </c>
      <c r="G598" s="3">
        <v>47931</v>
      </c>
      <c r="H598" s="3">
        <v>369940</v>
      </c>
      <c r="I598" s="3">
        <v>524733</v>
      </c>
      <c r="J598" s="3">
        <v>118926</v>
      </c>
    </row>
    <row r="599" spans="3:10" x14ac:dyDescent="0.2">
      <c r="C599" s="1" t="s">
        <v>291</v>
      </c>
      <c r="E599" s="16">
        <v>39</v>
      </c>
      <c r="F599" s="3">
        <v>7706</v>
      </c>
      <c r="G599" s="3">
        <v>46865</v>
      </c>
      <c r="H599" s="3">
        <v>362802</v>
      </c>
      <c r="I599" s="3">
        <v>533749</v>
      </c>
      <c r="J599" s="3">
        <v>130711</v>
      </c>
    </row>
    <row r="600" spans="3:10" x14ac:dyDescent="0.2">
      <c r="C600" s="1" t="s">
        <v>292</v>
      </c>
      <c r="E600" s="16">
        <v>34</v>
      </c>
      <c r="F600" s="3">
        <v>7442</v>
      </c>
      <c r="G600" s="3">
        <v>45985</v>
      </c>
      <c r="H600" s="3">
        <v>257972</v>
      </c>
      <c r="I600" s="3">
        <v>402609</v>
      </c>
      <c r="J600" s="3">
        <v>111032</v>
      </c>
    </row>
    <row r="601" spans="3:10" x14ac:dyDescent="0.2">
      <c r="C601" s="1"/>
      <c r="E601" s="16"/>
      <c r="F601" s="3"/>
      <c r="G601" s="3"/>
      <c r="H601" s="3"/>
      <c r="I601" s="3"/>
      <c r="J601" s="3"/>
    </row>
    <row r="602" spans="3:10" x14ac:dyDescent="0.2">
      <c r="C602" s="1" t="s">
        <v>293</v>
      </c>
      <c r="E602" s="16">
        <v>36</v>
      </c>
      <c r="F602" s="3">
        <v>7281</v>
      </c>
      <c r="G602" s="3">
        <v>46877</v>
      </c>
      <c r="H602" s="3">
        <v>199999</v>
      </c>
      <c r="I602" s="3">
        <v>365416</v>
      </c>
      <c r="J602" s="3">
        <v>133520</v>
      </c>
    </row>
    <row r="603" spans="3:10" x14ac:dyDescent="0.2">
      <c r="C603" s="1" t="s">
        <v>294</v>
      </c>
      <c r="E603" s="16">
        <v>33</v>
      </c>
      <c r="F603" s="3">
        <v>6943</v>
      </c>
      <c r="G603" s="3">
        <v>46353</v>
      </c>
      <c r="H603" s="3">
        <v>151444</v>
      </c>
      <c r="I603" s="3">
        <v>323017</v>
      </c>
      <c r="J603" s="3">
        <v>133086</v>
      </c>
    </row>
    <row r="604" spans="3:10" x14ac:dyDescent="0.2">
      <c r="C604" s="1" t="s">
        <v>295</v>
      </c>
      <c r="E604" s="16">
        <v>32</v>
      </c>
      <c r="F604" s="3">
        <v>6244</v>
      </c>
      <c r="G604" s="3">
        <v>60248</v>
      </c>
      <c r="H604" s="3">
        <v>186108</v>
      </c>
      <c r="I604" s="3">
        <v>368366</v>
      </c>
      <c r="J604" s="3">
        <v>144480</v>
      </c>
    </row>
    <row r="605" spans="3:10" x14ac:dyDescent="0.2">
      <c r="C605" s="1" t="s">
        <v>296</v>
      </c>
      <c r="E605" s="16">
        <v>34</v>
      </c>
      <c r="F605" s="3">
        <v>5521</v>
      </c>
      <c r="G605" s="3">
        <v>45553</v>
      </c>
      <c r="H605" s="3">
        <v>143301</v>
      </c>
      <c r="I605" s="3">
        <v>322666</v>
      </c>
      <c r="J605" s="3">
        <v>142116</v>
      </c>
    </row>
    <row r="606" spans="3:10" x14ac:dyDescent="0.2">
      <c r="C606" s="1" t="s">
        <v>297</v>
      </c>
      <c r="E606" s="16">
        <v>34</v>
      </c>
      <c r="F606" s="3">
        <v>4537</v>
      </c>
      <c r="G606" s="3">
        <v>36095</v>
      </c>
      <c r="H606" s="3">
        <v>158474</v>
      </c>
      <c r="I606" s="3">
        <v>360717</v>
      </c>
      <c r="J606" s="3">
        <v>158387</v>
      </c>
    </row>
    <row r="607" spans="3:10" x14ac:dyDescent="0.2">
      <c r="C607" s="1" t="s">
        <v>298</v>
      </c>
      <c r="E607" s="16">
        <v>38</v>
      </c>
      <c r="F607" s="3">
        <v>4339</v>
      </c>
      <c r="G607" s="3">
        <v>31463</v>
      </c>
      <c r="H607" s="3">
        <v>143181</v>
      </c>
      <c r="I607" s="3">
        <v>321304</v>
      </c>
      <c r="J607" s="3">
        <v>136114</v>
      </c>
    </row>
    <row r="608" spans="3:10" x14ac:dyDescent="0.2">
      <c r="C608" s="1"/>
      <c r="E608" s="16"/>
      <c r="F608" s="3"/>
      <c r="G608" s="3"/>
      <c r="H608" s="3"/>
      <c r="I608" s="3"/>
      <c r="J608" s="3"/>
    </row>
    <row r="609" spans="2:10" x14ac:dyDescent="0.2">
      <c r="C609" s="1" t="s">
        <v>327</v>
      </c>
      <c r="D609" s="15"/>
      <c r="E609" s="16">
        <v>34</v>
      </c>
      <c r="F609" s="3">
        <v>3946</v>
      </c>
      <c r="G609" s="3">
        <v>30904</v>
      </c>
      <c r="H609" s="3">
        <v>118782</v>
      </c>
      <c r="I609" s="3">
        <v>243218</v>
      </c>
      <c r="J609" s="3">
        <v>82148</v>
      </c>
    </row>
    <row r="610" spans="2:10" x14ac:dyDescent="0.2">
      <c r="C610" s="1" t="s">
        <v>328</v>
      </c>
      <c r="D610" s="80"/>
      <c r="E610" s="16">
        <v>34</v>
      </c>
      <c r="F610" s="3">
        <v>3476</v>
      </c>
      <c r="G610" s="3">
        <v>35674</v>
      </c>
      <c r="H610" s="3">
        <v>127140</v>
      </c>
      <c r="I610" s="3">
        <v>263928</v>
      </c>
      <c r="J610" s="3">
        <v>98476</v>
      </c>
    </row>
    <row r="611" spans="2:10" x14ac:dyDescent="0.2">
      <c r="C611" s="4" t="s">
        <v>329</v>
      </c>
      <c r="D611" s="15"/>
      <c r="E611" s="88">
        <v>37</v>
      </c>
      <c r="F611" s="39">
        <v>3027</v>
      </c>
      <c r="G611" s="39">
        <v>29028</v>
      </c>
      <c r="H611" s="39">
        <v>122207</v>
      </c>
      <c r="I611" s="39">
        <v>268887</v>
      </c>
      <c r="J611" s="39">
        <v>119361</v>
      </c>
    </row>
    <row r="612" spans="2:10" ht="18" thickBot="1" x14ac:dyDescent="0.25">
      <c r="B612" s="5"/>
      <c r="C612" s="5"/>
      <c r="D612" s="5"/>
      <c r="E612" s="41"/>
      <c r="F612" s="5"/>
      <c r="G612" s="5"/>
      <c r="H612" s="5"/>
      <c r="I612" s="5"/>
      <c r="J612" s="5"/>
    </row>
    <row r="613" spans="2:10" x14ac:dyDescent="0.2">
      <c r="E613" s="7"/>
      <c r="F613" s="24"/>
      <c r="G613" s="24"/>
      <c r="H613" s="24"/>
      <c r="I613" s="24"/>
      <c r="J613" s="24"/>
    </row>
    <row r="614" spans="2:10" x14ac:dyDescent="0.2">
      <c r="E614" s="11"/>
      <c r="F614" s="10"/>
      <c r="G614" s="26" t="s">
        <v>343</v>
      </c>
      <c r="H614" s="10"/>
      <c r="I614" s="10"/>
      <c r="J614" s="10"/>
    </row>
    <row r="615" spans="2:10" x14ac:dyDescent="0.2">
      <c r="E615" s="7"/>
      <c r="F615" s="7"/>
      <c r="G615" s="7"/>
      <c r="H615" s="8" t="s">
        <v>256</v>
      </c>
      <c r="I615" s="8" t="s">
        <v>257</v>
      </c>
      <c r="J615" s="8" t="s">
        <v>279</v>
      </c>
    </row>
    <row r="616" spans="2:10" x14ac:dyDescent="0.2">
      <c r="B616" s="10"/>
      <c r="C616" s="10"/>
      <c r="D616" s="10"/>
      <c r="E616" s="12" t="s">
        <v>258</v>
      </c>
      <c r="F616" s="12" t="s">
        <v>259</v>
      </c>
      <c r="G616" s="12" t="s">
        <v>6</v>
      </c>
      <c r="H616" s="35" t="s">
        <v>11</v>
      </c>
      <c r="I616" s="35" t="s">
        <v>260</v>
      </c>
      <c r="J616" s="35" t="s">
        <v>261</v>
      </c>
    </row>
    <row r="617" spans="2:10" x14ac:dyDescent="0.2">
      <c r="E617" s="7"/>
      <c r="F617" s="13" t="s">
        <v>14</v>
      </c>
      <c r="G617" s="13" t="s">
        <v>280</v>
      </c>
      <c r="H617" s="13" t="s">
        <v>280</v>
      </c>
      <c r="I617" s="13" t="s">
        <v>280</v>
      </c>
      <c r="J617" s="13" t="s">
        <v>280</v>
      </c>
    </row>
    <row r="618" spans="2:10" x14ac:dyDescent="0.2">
      <c r="C618" s="1" t="s">
        <v>281</v>
      </c>
      <c r="E618" s="16">
        <v>6</v>
      </c>
      <c r="F618" s="3">
        <v>537</v>
      </c>
      <c r="G618" s="3">
        <v>2134</v>
      </c>
      <c r="H618" s="3">
        <v>8937</v>
      </c>
      <c r="I618" s="3">
        <v>14837</v>
      </c>
      <c r="J618" s="3">
        <v>5359</v>
      </c>
    </row>
    <row r="619" spans="2:10" x14ac:dyDescent="0.2">
      <c r="C619" s="1" t="s">
        <v>282</v>
      </c>
      <c r="E619" s="16">
        <v>5</v>
      </c>
      <c r="F619" s="3">
        <v>519</v>
      </c>
      <c r="G619" s="3">
        <v>2284</v>
      </c>
      <c r="H619" s="3">
        <v>9372</v>
      </c>
      <c r="I619" s="3">
        <v>13811</v>
      </c>
      <c r="J619" s="3">
        <v>4270</v>
      </c>
    </row>
    <row r="620" spans="2:10" x14ac:dyDescent="0.2">
      <c r="C620" s="1" t="s">
        <v>283</v>
      </c>
      <c r="E620" s="16">
        <v>5</v>
      </c>
      <c r="F620" s="3">
        <v>510</v>
      </c>
      <c r="G620" s="3">
        <v>2304</v>
      </c>
      <c r="H620" s="3">
        <v>8519</v>
      </c>
      <c r="I620" s="3">
        <v>17332</v>
      </c>
      <c r="J620" s="3">
        <v>8413</v>
      </c>
    </row>
    <row r="621" spans="2:10" x14ac:dyDescent="0.2">
      <c r="C621" s="1" t="s">
        <v>284</v>
      </c>
      <c r="E621" s="16">
        <v>5</v>
      </c>
      <c r="F621" s="3">
        <v>448</v>
      </c>
      <c r="G621" s="3">
        <v>2151</v>
      </c>
      <c r="H621" s="3">
        <v>8807</v>
      </c>
      <c r="I621" s="3">
        <v>14989</v>
      </c>
      <c r="J621" s="3">
        <v>5556</v>
      </c>
    </row>
    <row r="622" spans="2:10" x14ac:dyDescent="0.2">
      <c r="C622" s="1" t="s">
        <v>285</v>
      </c>
      <c r="E622" s="16">
        <v>4</v>
      </c>
      <c r="F622" s="3">
        <v>423</v>
      </c>
      <c r="G622" s="3">
        <v>2269</v>
      </c>
      <c r="H622" s="3">
        <v>8685</v>
      </c>
      <c r="I622" s="3">
        <v>15562</v>
      </c>
      <c r="J622" s="3">
        <v>6707</v>
      </c>
    </row>
    <row r="623" spans="2:10" x14ac:dyDescent="0.2">
      <c r="C623" s="1" t="s">
        <v>286</v>
      </c>
      <c r="E623" s="16">
        <v>5</v>
      </c>
      <c r="F623" s="3">
        <v>470</v>
      </c>
      <c r="G623" s="3">
        <v>2363</v>
      </c>
      <c r="H623" s="3">
        <v>7128</v>
      </c>
      <c r="I623" s="3">
        <v>13156</v>
      </c>
      <c r="J623" s="3">
        <v>5652</v>
      </c>
    </row>
    <row r="624" spans="2:10" x14ac:dyDescent="0.2">
      <c r="C624" s="1"/>
      <c r="E624" s="16"/>
      <c r="F624" s="3"/>
      <c r="G624" s="3"/>
      <c r="H624" s="3"/>
      <c r="I624" s="3"/>
      <c r="J624" s="3"/>
    </row>
    <row r="625" spans="3:11" x14ac:dyDescent="0.2">
      <c r="C625" s="1" t="s">
        <v>287</v>
      </c>
      <c r="E625" s="16">
        <v>5</v>
      </c>
      <c r="F625" s="3">
        <v>415</v>
      </c>
      <c r="G625" s="3">
        <v>2391</v>
      </c>
      <c r="H625" s="3">
        <v>6131</v>
      </c>
      <c r="I625" s="3">
        <v>12256</v>
      </c>
      <c r="J625" s="3">
        <v>5739</v>
      </c>
    </row>
    <row r="626" spans="3:11" x14ac:dyDescent="0.2">
      <c r="C626" s="1" t="s">
        <v>288</v>
      </c>
      <c r="E626" s="16">
        <v>5</v>
      </c>
      <c r="F626" s="3">
        <v>42</v>
      </c>
      <c r="G626" s="3">
        <v>128</v>
      </c>
      <c r="H626" s="3">
        <v>452</v>
      </c>
      <c r="I626" s="3">
        <v>855</v>
      </c>
      <c r="J626" s="3">
        <v>385</v>
      </c>
    </row>
    <row r="627" spans="3:11" x14ac:dyDescent="0.2">
      <c r="C627" s="1" t="s">
        <v>289</v>
      </c>
      <c r="E627" s="16">
        <v>3</v>
      </c>
      <c r="F627" s="3">
        <v>36</v>
      </c>
      <c r="G627" s="3">
        <v>130</v>
      </c>
      <c r="H627" s="3">
        <v>801</v>
      </c>
      <c r="I627" s="3">
        <v>1258</v>
      </c>
      <c r="J627" s="3">
        <v>429</v>
      </c>
    </row>
    <row r="628" spans="3:11" x14ac:dyDescent="0.2">
      <c r="C628" s="1" t="s">
        <v>290</v>
      </c>
      <c r="E628" s="16">
        <v>4</v>
      </c>
      <c r="F628" s="3">
        <v>45</v>
      </c>
      <c r="G628" s="3">
        <v>158</v>
      </c>
      <c r="H628" s="3">
        <v>888</v>
      </c>
      <c r="I628" s="3">
        <v>1416</v>
      </c>
      <c r="J628" s="3">
        <v>494</v>
      </c>
    </row>
    <row r="629" spans="3:11" x14ac:dyDescent="0.2">
      <c r="C629" s="1" t="s">
        <v>291</v>
      </c>
      <c r="E629" s="16">
        <v>4</v>
      </c>
      <c r="F629" s="3">
        <v>43</v>
      </c>
      <c r="G629" s="3">
        <v>171</v>
      </c>
      <c r="H629" s="3">
        <v>895</v>
      </c>
      <c r="I629" s="3">
        <v>1405</v>
      </c>
      <c r="J629" s="3">
        <v>477</v>
      </c>
    </row>
    <row r="630" spans="3:11" x14ac:dyDescent="0.2">
      <c r="C630" s="1" t="s">
        <v>292</v>
      </c>
      <c r="E630" s="16">
        <v>4</v>
      </c>
      <c r="F630" s="3">
        <v>55</v>
      </c>
      <c r="G630" s="3">
        <v>170</v>
      </c>
      <c r="H630" s="3">
        <v>931</v>
      </c>
      <c r="I630" s="3">
        <v>1455</v>
      </c>
      <c r="J630" s="3">
        <v>504</v>
      </c>
    </row>
    <row r="631" spans="3:11" x14ac:dyDescent="0.2">
      <c r="C631" s="1"/>
      <c r="E631" s="16"/>
      <c r="F631" s="3"/>
      <c r="G631" s="3"/>
      <c r="H631" s="3"/>
      <c r="I631" s="3"/>
      <c r="J631" s="3"/>
    </row>
    <row r="632" spans="3:11" x14ac:dyDescent="0.2">
      <c r="C632" s="1" t="s">
        <v>293</v>
      </c>
      <c r="E632" s="16">
        <v>4</v>
      </c>
      <c r="F632" s="3">
        <v>237</v>
      </c>
      <c r="G632" s="3">
        <v>794</v>
      </c>
      <c r="H632" s="3">
        <v>1368</v>
      </c>
      <c r="I632" s="3">
        <v>3162</v>
      </c>
      <c r="J632" s="3">
        <v>1670</v>
      </c>
    </row>
    <row r="633" spans="3:11" x14ac:dyDescent="0.2">
      <c r="C633" s="1" t="s">
        <v>294</v>
      </c>
      <c r="E633" s="16">
        <v>4</v>
      </c>
      <c r="F633" s="3">
        <v>222</v>
      </c>
      <c r="G633" s="3">
        <v>645</v>
      </c>
      <c r="H633" s="3">
        <v>1584</v>
      </c>
      <c r="I633" s="3">
        <v>3009</v>
      </c>
      <c r="J633" s="3">
        <v>1243</v>
      </c>
    </row>
    <row r="634" spans="3:11" x14ac:dyDescent="0.2">
      <c r="C634" s="1" t="s">
        <v>295</v>
      </c>
      <c r="E634" s="16">
        <v>3</v>
      </c>
      <c r="F634" s="3">
        <v>55</v>
      </c>
      <c r="G634" s="3">
        <v>173</v>
      </c>
      <c r="H634" s="3">
        <v>1193</v>
      </c>
      <c r="I634" s="3">
        <v>1481</v>
      </c>
      <c r="J634" s="3">
        <v>172</v>
      </c>
    </row>
    <row r="635" spans="3:11" x14ac:dyDescent="0.2">
      <c r="C635" s="1" t="s">
        <v>296</v>
      </c>
      <c r="E635" s="16">
        <v>3</v>
      </c>
      <c r="F635" s="3">
        <v>70</v>
      </c>
      <c r="G635" s="3">
        <v>223</v>
      </c>
      <c r="H635" s="3">
        <v>1347</v>
      </c>
      <c r="I635" s="3">
        <v>1639</v>
      </c>
      <c r="J635" s="3">
        <v>138</v>
      </c>
    </row>
    <row r="636" spans="3:11" x14ac:dyDescent="0.2">
      <c r="C636" s="1" t="s">
        <v>297</v>
      </c>
      <c r="E636" s="16">
        <v>2</v>
      </c>
      <c r="F636" s="17" t="s">
        <v>344</v>
      </c>
      <c r="G636" s="17" t="s">
        <v>344</v>
      </c>
      <c r="H636" s="17" t="s">
        <v>344</v>
      </c>
      <c r="I636" s="17" t="s">
        <v>344</v>
      </c>
      <c r="J636" s="17" t="s">
        <v>344</v>
      </c>
    </row>
    <row r="637" spans="3:11" x14ac:dyDescent="0.2">
      <c r="C637" s="1" t="s">
        <v>298</v>
      </c>
      <c r="E637" s="16">
        <v>7</v>
      </c>
      <c r="F637" s="17">
        <v>181</v>
      </c>
      <c r="G637" s="17">
        <v>848</v>
      </c>
      <c r="H637" s="17">
        <v>3696</v>
      </c>
      <c r="I637" s="17">
        <v>5848</v>
      </c>
      <c r="J637" s="17">
        <v>2116</v>
      </c>
    </row>
    <row r="638" spans="3:11" x14ac:dyDescent="0.2">
      <c r="C638" s="1"/>
      <c r="E638" s="16"/>
      <c r="F638" s="17"/>
      <c r="G638" s="17"/>
      <c r="H638" s="17"/>
      <c r="I638" s="17"/>
      <c r="J638" s="17"/>
    </row>
    <row r="639" spans="3:11" x14ac:dyDescent="0.2">
      <c r="C639" s="1" t="s">
        <v>327</v>
      </c>
      <c r="D639" s="15"/>
      <c r="E639" s="16">
        <v>7</v>
      </c>
      <c r="F639" s="3">
        <v>180</v>
      </c>
      <c r="G639" s="3">
        <v>841</v>
      </c>
      <c r="H639" s="3">
        <v>3413</v>
      </c>
      <c r="I639" s="3">
        <v>5636</v>
      </c>
      <c r="J639" s="3">
        <v>1895</v>
      </c>
      <c r="K639" s="3"/>
    </row>
    <row r="640" spans="3:11" x14ac:dyDescent="0.2">
      <c r="C640" s="1" t="s">
        <v>328</v>
      </c>
      <c r="D640" s="80"/>
      <c r="E640" s="16">
        <v>6</v>
      </c>
      <c r="F640" s="3">
        <v>308</v>
      </c>
      <c r="G640" s="3">
        <v>1266</v>
      </c>
      <c r="H640" s="3">
        <v>3396</v>
      </c>
      <c r="I640" s="3">
        <v>6410</v>
      </c>
      <c r="J640" s="3">
        <v>2590</v>
      </c>
      <c r="K640" s="3"/>
    </row>
    <row r="641" spans="1:11" x14ac:dyDescent="0.2">
      <c r="C641" s="4" t="s">
        <v>329</v>
      </c>
      <c r="D641" s="15"/>
      <c r="E641" s="88">
        <v>6</v>
      </c>
      <c r="F641" s="39">
        <v>262</v>
      </c>
      <c r="G641" s="39">
        <v>1037</v>
      </c>
      <c r="H641" s="39">
        <v>3520</v>
      </c>
      <c r="I641" s="39">
        <v>6085</v>
      </c>
      <c r="J641" s="39">
        <v>2138</v>
      </c>
      <c r="K641" s="39"/>
    </row>
    <row r="642" spans="1:11" ht="18" thickBot="1" x14ac:dyDescent="0.25">
      <c r="B642" s="5"/>
      <c r="C642" s="5"/>
      <c r="D642" s="5"/>
      <c r="E642" s="41"/>
      <c r="F642" s="5"/>
      <c r="G642" s="5"/>
      <c r="H642" s="5"/>
      <c r="I642" s="5"/>
      <c r="J642" s="5"/>
    </row>
    <row r="643" spans="1:11" x14ac:dyDescent="0.2">
      <c r="D643" s="1" t="s">
        <v>345</v>
      </c>
      <c r="E643" s="1"/>
      <c r="H643" s="1" t="s">
        <v>330</v>
      </c>
    </row>
    <row r="644" spans="1:11" x14ac:dyDescent="0.2">
      <c r="H644" s="1"/>
    </row>
    <row r="646" spans="1:11" x14ac:dyDescent="0.2">
      <c r="A646" s="1"/>
    </row>
    <row r="647" spans="1:11" x14ac:dyDescent="0.2">
      <c r="A647" s="1"/>
    </row>
    <row r="652" spans="1:11" x14ac:dyDescent="0.2">
      <c r="C652" s="15"/>
      <c r="D652" s="15"/>
      <c r="E652" s="15"/>
      <c r="F652" s="4" t="s">
        <v>303</v>
      </c>
    </row>
    <row r="653" spans="1:11" x14ac:dyDescent="0.2">
      <c r="F653" s="1" t="s">
        <v>304</v>
      </c>
    </row>
    <row r="654" spans="1:11" ht="18" thickBot="1" x14ac:dyDescent="0.25">
      <c r="B654" s="5"/>
      <c r="C654" s="5"/>
      <c r="D654" s="5"/>
      <c r="E654" s="5"/>
      <c r="F654" s="6" t="s">
        <v>331</v>
      </c>
      <c r="G654" s="5"/>
      <c r="H654" s="5"/>
      <c r="I654" s="5"/>
      <c r="J654" s="5"/>
    </row>
    <row r="655" spans="1:11" x14ac:dyDescent="0.2">
      <c r="E655" s="7"/>
      <c r="F655" s="24"/>
      <c r="G655" s="24"/>
      <c r="H655" s="24"/>
      <c r="I655" s="24"/>
      <c r="J655" s="24"/>
    </row>
    <row r="656" spans="1:11" x14ac:dyDescent="0.2">
      <c r="E656" s="11"/>
      <c r="F656" s="10"/>
      <c r="G656" s="26" t="s">
        <v>346</v>
      </c>
      <c r="H656" s="10"/>
      <c r="I656" s="10"/>
      <c r="J656" s="10"/>
    </row>
    <row r="657" spans="2:10" x14ac:dyDescent="0.2">
      <c r="E657" s="7"/>
      <c r="F657" s="7"/>
      <c r="G657" s="7"/>
      <c r="H657" s="8" t="s">
        <v>256</v>
      </c>
      <c r="I657" s="8" t="s">
        <v>257</v>
      </c>
      <c r="J657" s="8" t="s">
        <v>279</v>
      </c>
    </row>
    <row r="658" spans="2:10" x14ac:dyDescent="0.2">
      <c r="B658" s="10"/>
      <c r="C658" s="10"/>
      <c r="D658" s="10"/>
      <c r="E658" s="12" t="s">
        <v>258</v>
      </c>
      <c r="F658" s="12" t="s">
        <v>259</v>
      </c>
      <c r="G658" s="12" t="s">
        <v>6</v>
      </c>
      <c r="H658" s="35" t="s">
        <v>11</v>
      </c>
      <c r="I658" s="35" t="s">
        <v>260</v>
      </c>
      <c r="J658" s="35" t="s">
        <v>261</v>
      </c>
    </row>
    <row r="659" spans="2:10" x14ac:dyDescent="0.2">
      <c r="E659" s="7"/>
      <c r="F659" s="13" t="s">
        <v>14</v>
      </c>
      <c r="G659" s="13" t="s">
        <v>280</v>
      </c>
      <c r="H659" s="13" t="s">
        <v>280</v>
      </c>
      <c r="I659" s="13" t="s">
        <v>280</v>
      </c>
      <c r="J659" s="13" t="s">
        <v>280</v>
      </c>
    </row>
    <row r="660" spans="2:10" x14ac:dyDescent="0.2">
      <c r="C660" s="1" t="s">
        <v>281</v>
      </c>
      <c r="E660" s="16">
        <v>223</v>
      </c>
      <c r="F660" s="3">
        <v>3111</v>
      </c>
      <c r="G660" s="3">
        <v>7363</v>
      </c>
      <c r="H660" s="3">
        <v>21366</v>
      </c>
      <c r="I660" s="3">
        <v>39252</v>
      </c>
      <c r="J660" s="3">
        <v>17234</v>
      </c>
    </row>
    <row r="661" spans="2:10" x14ac:dyDescent="0.2">
      <c r="C661" s="1" t="s">
        <v>282</v>
      </c>
      <c r="E661" s="16">
        <v>214</v>
      </c>
      <c r="F661" s="3">
        <v>2957</v>
      </c>
      <c r="G661" s="3">
        <v>7349</v>
      </c>
      <c r="H661" s="3">
        <v>20367</v>
      </c>
      <c r="I661" s="3">
        <v>37693</v>
      </c>
      <c r="J661" s="3">
        <v>16332</v>
      </c>
    </row>
    <row r="662" spans="2:10" x14ac:dyDescent="0.2">
      <c r="C662" s="1" t="s">
        <v>283</v>
      </c>
      <c r="E662" s="16">
        <v>210</v>
      </c>
      <c r="F662" s="3">
        <v>2850</v>
      </c>
      <c r="G662" s="3">
        <v>7225</v>
      </c>
      <c r="H662" s="3">
        <v>20810</v>
      </c>
      <c r="I662" s="3">
        <v>37973</v>
      </c>
      <c r="J662" s="3">
        <v>16481</v>
      </c>
    </row>
    <row r="663" spans="2:10" x14ac:dyDescent="0.2">
      <c r="C663" s="1" t="s">
        <v>284</v>
      </c>
      <c r="E663" s="16">
        <v>189</v>
      </c>
      <c r="F663" s="3">
        <v>2876</v>
      </c>
      <c r="G663" s="3">
        <v>7595</v>
      </c>
      <c r="H663" s="3">
        <v>23921</v>
      </c>
      <c r="I663" s="3">
        <v>43127</v>
      </c>
      <c r="J663" s="3">
        <v>18422</v>
      </c>
    </row>
    <row r="664" spans="2:10" x14ac:dyDescent="0.2">
      <c r="C664" s="1" t="s">
        <v>285</v>
      </c>
      <c r="E664" s="16">
        <v>191</v>
      </c>
      <c r="F664" s="3">
        <v>2946</v>
      </c>
      <c r="G664" s="3">
        <v>8600</v>
      </c>
      <c r="H664" s="3">
        <v>23734</v>
      </c>
      <c r="I664" s="3">
        <v>46459</v>
      </c>
      <c r="J664" s="3">
        <v>22904</v>
      </c>
    </row>
    <row r="665" spans="2:10" x14ac:dyDescent="0.2">
      <c r="C665" s="1" t="s">
        <v>286</v>
      </c>
      <c r="E665" s="16">
        <v>204</v>
      </c>
      <c r="F665" s="3">
        <v>3100</v>
      </c>
      <c r="G665" s="3">
        <v>9504</v>
      </c>
      <c r="H665" s="3">
        <v>24882</v>
      </c>
      <c r="I665" s="3">
        <v>51692</v>
      </c>
      <c r="J665" s="3">
        <v>24752</v>
      </c>
    </row>
    <row r="666" spans="2:10" x14ac:dyDescent="0.2">
      <c r="C666" s="1"/>
      <c r="E666" s="16"/>
      <c r="F666" s="3"/>
      <c r="G666" s="3"/>
      <c r="H666" s="3"/>
      <c r="I666" s="3"/>
      <c r="J666" s="3"/>
    </row>
    <row r="667" spans="2:10" x14ac:dyDescent="0.2">
      <c r="C667" s="1" t="s">
        <v>287</v>
      </c>
      <c r="E667" s="16">
        <v>192</v>
      </c>
      <c r="F667" s="3">
        <v>2945</v>
      </c>
      <c r="G667" s="3">
        <v>9000</v>
      </c>
      <c r="H667" s="3">
        <v>23051</v>
      </c>
      <c r="I667" s="3">
        <v>49773</v>
      </c>
      <c r="J667" s="3">
        <v>25801</v>
      </c>
    </row>
    <row r="668" spans="2:10" x14ac:dyDescent="0.2">
      <c r="C668" s="1" t="s">
        <v>288</v>
      </c>
      <c r="E668" s="16">
        <v>215</v>
      </c>
      <c r="F668" s="3">
        <v>3259</v>
      </c>
      <c r="G668" s="3">
        <v>10073</v>
      </c>
      <c r="H668" s="3">
        <v>27564</v>
      </c>
      <c r="I668" s="3">
        <v>56081</v>
      </c>
      <c r="J668" s="3">
        <v>28096</v>
      </c>
    </row>
    <row r="669" spans="2:10" x14ac:dyDescent="0.2">
      <c r="C669" s="1" t="s">
        <v>289</v>
      </c>
      <c r="E669" s="16">
        <v>205</v>
      </c>
      <c r="F669" s="3">
        <v>3202</v>
      </c>
      <c r="G669" s="3">
        <v>10376</v>
      </c>
      <c r="H669" s="3">
        <v>29023</v>
      </c>
      <c r="I669" s="3">
        <v>58846</v>
      </c>
      <c r="J669" s="3">
        <v>28102</v>
      </c>
    </row>
    <row r="670" spans="2:10" x14ac:dyDescent="0.2">
      <c r="C670" s="1" t="s">
        <v>290</v>
      </c>
      <c r="E670" s="16">
        <v>229</v>
      </c>
      <c r="F670" s="3">
        <v>3406</v>
      </c>
      <c r="G670" s="3">
        <v>11364</v>
      </c>
      <c r="H670" s="3">
        <v>32979</v>
      </c>
      <c r="I670" s="3">
        <v>66678</v>
      </c>
      <c r="J670" s="3">
        <v>31554</v>
      </c>
    </row>
    <row r="671" spans="2:10" x14ac:dyDescent="0.2">
      <c r="C671" s="1" t="s">
        <v>291</v>
      </c>
      <c r="E671" s="16">
        <v>218</v>
      </c>
      <c r="F671" s="3">
        <v>3521</v>
      </c>
      <c r="G671" s="3">
        <v>12538</v>
      </c>
      <c r="H671" s="3">
        <v>33639</v>
      </c>
      <c r="I671" s="3">
        <v>69572</v>
      </c>
      <c r="J671" s="3">
        <v>33798</v>
      </c>
    </row>
    <row r="672" spans="2:10" x14ac:dyDescent="0.2">
      <c r="C672" s="1" t="s">
        <v>292</v>
      </c>
      <c r="E672" s="16">
        <v>207</v>
      </c>
      <c r="F672" s="3">
        <v>3649</v>
      </c>
      <c r="G672" s="3">
        <v>14269</v>
      </c>
      <c r="H672" s="3">
        <v>38612</v>
      </c>
      <c r="I672" s="3">
        <v>81733</v>
      </c>
      <c r="J672" s="3">
        <v>40584</v>
      </c>
    </row>
    <row r="673" spans="2:10" x14ac:dyDescent="0.2">
      <c r="C673" s="1"/>
      <c r="E673" s="16"/>
      <c r="F673" s="3"/>
      <c r="G673" s="3"/>
      <c r="H673" s="3"/>
      <c r="I673" s="3"/>
      <c r="J673" s="3"/>
    </row>
    <row r="674" spans="2:10" x14ac:dyDescent="0.2">
      <c r="C674" s="1" t="s">
        <v>293</v>
      </c>
      <c r="E674" s="16">
        <v>220</v>
      </c>
      <c r="F674" s="3">
        <v>4006</v>
      </c>
      <c r="G674" s="3">
        <v>16555</v>
      </c>
      <c r="H674" s="3">
        <v>47111</v>
      </c>
      <c r="I674" s="3">
        <v>102320</v>
      </c>
      <c r="J674" s="3">
        <v>57102</v>
      </c>
    </row>
    <row r="675" spans="2:10" x14ac:dyDescent="0.2">
      <c r="C675" s="1" t="s">
        <v>294</v>
      </c>
      <c r="E675" s="16">
        <v>206</v>
      </c>
      <c r="F675" s="3">
        <v>3858</v>
      </c>
      <c r="G675" s="3">
        <v>17189</v>
      </c>
      <c r="H675" s="3">
        <v>37312</v>
      </c>
      <c r="I675" s="3">
        <v>93989</v>
      </c>
      <c r="J675" s="3">
        <v>54219</v>
      </c>
    </row>
    <row r="676" spans="2:10" x14ac:dyDescent="0.2">
      <c r="C676" s="1" t="s">
        <v>295</v>
      </c>
      <c r="E676" s="16">
        <v>216</v>
      </c>
      <c r="F676" s="3">
        <v>3863</v>
      </c>
      <c r="G676" s="3">
        <v>16768</v>
      </c>
      <c r="H676" s="3">
        <v>36532</v>
      </c>
      <c r="I676" s="3">
        <v>95742</v>
      </c>
      <c r="J676" s="3">
        <v>50183</v>
      </c>
    </row>
    <row r="677" spans="2:10" x14ac:dyDescent="0.2">
      <c r="C677" s="1" t="s">
        <v>296</v>
      </c>
      <c r="E677" s="16">
        <v>203</v>
      </c>
      <c r="F677" s="3">
        <v>3770</v>
      </c>
      <c r="G677" s="3">
        <v>16465</v>
      </c>
      <c r="H677" s="3">
        <v>37620</v>
      </c>
      <c r="I677" s="3">
        <v>97604</v>
      </c>
      <c r="J677" s="3">
        <v>55281</v>
      </c>
    </row>
    <row r="678" spans="2:10" x14ac:dyDescent="0.2">
      <c r="C678" s="1" t="s">
        <v>297</v>
      </c>
      <c r="E678" s="16">
        <v>201</v>
      </c>
      <c r="F678" s="3">
        <v>4066</v>
      </c>
      <c r="G678" s="3">
        <v>17461</v>
      </c>
      <c r="H678" s="3">
        <v>39565</v>
      </c>
      <c r="I678" s="3">
        <v>97560</v>
      </c>
      <c r="J678" s="3">
        <v>55172</v>
      </c>
    </row>
    <row r="679" spans="2:10" x14ac:dyDescent="0.2">
      <c r="C679" s="1" t="s">
        <v>298</v>
      </c>
      <c r="E679" s="16">
        <v>219</v>
      </c>
      <c r="F679" s="3">
        <v>4018</v>
      </c>
      <c r="G679" s="3">
        <v>17104</v>
      </c>
      <c r="H679" s="3">
        <v>36710</v>
      </c>
      <c r="I679" s="3">
        <v>91308</v>
      </c>
      <c r="J679" s="3">
        <v>53203</v>
      </c>
    </row>
    <row r="680" spans="2:10" x14ac:dyDescent="0.2">
      <c r="C680" s="1"/>
      <c r="E680" s="16"/>
      <c r="F680" s="3"/>
      <c r="G680" s="3"/>
      <c r="H680" s="3"/>
      <c r="I680" s="3"/>
      <c r="J680" s="3"/>
    </row>
    <row r="681" spans="2:10" x14ac:dyDescent="0.2">
      <c r="C681" s="1" t="s">
        <v>327</v>
      </c>
      <c r="D681" s="15"/>
      <c r="E681" s="16">
        <v>207</v>
      </c>
      <c r="F681" s="3">
        <v>3680</v>
      </c>
      <c r="G681" s="3">
        <v>15429</v>
      </c>
      <c r="H681" s="3">
        <v>34160</v>
      </c>
      <c r="I681" s="3">
        <v>94058</v>
      </c>
      <c r="J681" s="3">
        <v>52356</v>
      </c>
    </row>
    <row r="682" spans="2:10" x14ac:dyDescent="0.2">
      <c r="C682" s="1" t="s">
        <v>328</v>
      </c>
      <c r="D682" s="80"/>
      <c r="E682" s="16">
        <v>200</v>
      </c>
      <c r="F682" s="3">
        <v>3641</v>
      </c>
      <c r="G682" s="3">
        <v>14919</v>
      </c>
      <c r="H682" s="3">
        <v>30256</v>
      </c>
      <c r="I682" s="3">
        <v>84812</v>
      </c>
      <c r="J682" s="3">
        <v>51107</v>
      </c>
    </row>
    <row r="683" spans="2:10" x14ac:dyDescent="0.2">
      <c r="C683" s="4" t="s">
        <v>329</v>
      </c>
      <c r="D683" s="15"/>
      <c r="E683" s="88">
        <v>198</v>
      </c>
      <c r="F683" s="39">
        <v>3937</v>
      </c>
      <c r="G683" s="39">
        <v>14954</v>
      </c>
      <c r="H683" s="39">
        <v>31601</v>
      </c>
      <c r="I683" s="39">
        <v>86104</v>
      </c>
      <c r="J683" s="39">
        <v>51116</v>
      </c>
    </row>
    <row r="684" spans="2:10" ht="18" thickBot="1" x14ac:dyDescent="0.25">
      <c r="B684" s="5"/>
      <c r="C684" s="5"/>
      <c r="D684" s="5"/>
      <c r="E684" s="41"/>
      <c r="F684" s="5"/>
      <c r="G684" s="5"/>
      <c r="H684" s="5"/>
      <c r="I684" s="5"/>
      <c r="J684" s="5"/>
    </row>
    <row r="685" spans="2:10" x14ac:dyDescent="0.2">
      <c r="E685" s="7"/>
      <c r="F685" s="24"/>
      <c r="G685" s="24"/>
      <c r="H685" s="24"/>
      <c r="I685" s="24"/>
      <c r="J685" s="24"/>
    </row>
    <row r="686" spans="2:10" x14ac:dyDescent="0.2">
      <c r="E686" s="11"/>
      <c r="F686" s="10"/>
      <c r="G686" s="26" t="s">
        <v>347</v>
      </c>
      <c r="H686" s="10"/>
      <c r="I686" s="10"/>
      <c r="J686" s="10"/>
    </row>
    <row r="687" spans="2:10" x14ac:dyDescent="0.2">
      <c r="E687" s="7"/>
      <c r="F687" s="7"/>
      <c r="G687" s="7"/>
      <c r="H687" s="8" t="s">
        <v>256</v>
      </c>
      <c r="I687" s="8" t="s">
        <v>257</v>
      </c>
      <c r="J687" s="8" t="s">
        <v>279</v>
      </c>
    </row>
    <row r="688" spans="2:10" x14ac:dyDescent="0.2">
      <c r="B688" s="10"/>
      <c r="C688" s="10"/>
      <c r="D688" s="10"/>
      <c r="E688" s="12" t="s">
        <v>258</v>
      </c>
      <c r="F688" s="12" t="s">
        <v>259</v>
      </c>
      <c r="G688" s="12" t="s">
        <v>6</v>
      </c>
      <c r="H688" s="35" t="s">
        <v>11</v>
      </c>
      <c r="I688" s="35" t="s">
        <v>260</v>
      </c>
      <c r="J688" s="35" t="s">
        <v>261</v>
      </c>
    </row>
    <row r="689" spans="3:10" x14ac:dyDescent="0.2">
      <c r="E689" s="7"/>
      <c r="F689" s="13" t="s">
        <v>14</v>
      </c>
      <c r="G689" s="13" t="s">
        <v>280</v>
      </c>
      <c r="H689" s="13" t="s">
        <v>280</v>
      </c>
      <c r="I689" s="13" t="s">
        <v>280</v>
      </c>
      <c r="J689" s="13" t="s">
        <v>280</v>
      </c>
    </row>
    <row r="690" spans="3:10" x14ac:dyDescent="0.2">
      <c r="C690" s="1" t="s">
        <v>281</v>
      </c>
      <c r="E690" s="16">
        <v>212</v>
      </c>
      <c r="F690" s="3">
        <v>4767</v>
      </c>
      <c r="G690" s="3">
        <v>14245</v>
      </c>
      <c r="H690" s="3">
        <v>43542</v>
      </c>
      <c r="I690" s="3">
        <v>82009</v>
      </c>
      <c r="J690" s="3">
        <v>36524</v>
      </c>
    </row>
    <row r="691" spans="3:10" x14ac:dyDescent="0.2">
      <c r="C691" s="1" t="s">
        <v>282</v>
      </c>
      <c r="E691" s="16">
        <v>204</v>
      </c>
      <c r="F691" s="3">
        <v>4599</v>
      </c>
      <c r="G691" s="3">
        <v>14851</v>
      </c>
      <c r="H691" s="3">
        <v>42552</v>
      </c>
      <c r="I691" s="3">
        <v>84731</v>
      </c>
      <c r="J691" s="3">
        <v>43453</v>
      </c>
    </row>
    <row r="692" spans="3:10" x14ac:dyDescent="0.2">
      <c r="C692" s="1" t="s">
        <v>283</v>
      </c>
      <c r="E692" s="16">
        <v>212</v>
      </c>
      <c r="F692" s="3">
        <v>4619</v>
      </c>
      <c r="G692" s="3">
        <v>14742</v>
      </c>
      <c r="H692" s="3">
        <v>45197</v>
      </c>
      <c r="I692" s="3">
        <v>91042</v>
      </c>
      <c r="J692" s="3">
        <v>43517</v>
      </c>
    </row>
    <row r="693" spans="3:10" x14ac:dyDescent="0.2">
      <c r="C693" s="1" t="s">
        <v>284</v>
      </c>
      <c r="E693" s="16">
        <v>202</v>
      </c>
      <c r="F693" s="3">
        <v>4608</v>
      </c>
      <c r="G693" s="3">
        <v>15806</v>
      </c>
      <c r="H693" s="3">
        <v>54317</v>
      </c>
      <c r="I693" s="3">
        <v>102087</v>
      </c>
      <c r="J693" s="3">
        <v>45061</v>
      </c>
    </row>
    <row r="694" spans="3:10" x14ac:dyDescent="0.2">
      <c r="C694" s="1" t="s">
        <v>285</v>
      </c>
      <c r="E694" s="16">
        <v>217</v>
      </c>
      <c r="F694" s="3">
        <v>4937</v>
      </c>
      <c r="G694" s="3">
        <v>18101</v>
      </c>
      <c r="H694" s="3">
        <v>62691</v>
      </c>
      <c r="I694" s="3">
        <v>115644</v>
      </c>
      <c r="J694" s="3">
        <v>53254</v>
      </c>
    </row>
    <row r="695" spans="3:10" x14ac:dyDescent="0.2">
      <c r="C695" s="1" t="s">
        <v>286</v>
      </c>
      <c r="E695" s="16">
        <v>219</v>
      </c>
      <c r="F695" s="3">
        <v>4860</v>
      </c>
      <c r="G695" s="3">
        <v>17940</v>
      </c>
      <c r="H695" s="3">
        <v>61734</v>
      </c>
      <c r="I695" s="3">
        <v>119234</v>
      </c>
      <c r="J695" s="3">
        <v>49459</v>
      </c>
    </row>
    <row r="696" spans="3:10" x14ac:dyDescent="0.2">
      <c r="C696" s="1"/>
      <c r="E696" s="16"/>
      <c r="F696" s="3"/>
      <c r="G696" s="3"/>
      <c r="H696" s="3"/>
      <c r="I696" s="3"/>
      <c r="J696" s="3"/>
    </row>
    <row r="697" spans="3:10" x14ac:dyDescent="0.2">
      <c r="C697" s="1" t="s">
        <v>287</v>
      </c>
      <c r="E697" s="16">
        <v>210</v>
      </c>
      <c r="F697" s="3">
        <v>4853</v>
      </c>
      <c r="G697" s="3">
        <v>18938</v>
      </c>
      <c r="H697" s="3">
        <v>62262</v>
      </c>
      <c r="I697" s="3">
        <v>126978</v>
      </c>
      <c r="J697" s="3">
        <v>60134</v>
      </c>
    </row>
    <row r="698" spans="3:10" x14ac:dyDescent="0.2">
      <c r="C698" s="1" t="s">
        <v>288</v>
      </c>
      <c r="E698" s="16">
        <v>201</v>
      </c>
      <c r="F698" s="3">
        <v>4908</v>
      </c>
      <c r="G698" s="3">
        <v>19278</v>
      </c>
      <c r="H698" s="3">
        <v>74879</v>
      </c>
      <c r="I698" s="3">
        <v>141621</v>
      </c>
      <c r="J698" s="3">
        <v>64124</v>
      </c>
    </row>
    <row r="699" spans="3:10" x14ac:dyDescent="0.2">
      <c r="C699" s="1" t="s">
        <v>289</v>
      </c>
      <c r="E699" s="16">
        <v>211</v>
      </c>
      <c r="F699" s="3">
        <v>5408</v>
      </c>
      <c r="G699" s="3">
        <v>22238</v>
      </c>
      <c r="H699" s="3">
        <v>79529</v>
      </c>
      <c r="I699" s="3">
        <v>150530</v>
      </c>
      <c r="J699" s="3">
        <v>67359</v>
      </c>
    </row>
    <row r="700" spans="3:10" x14ac:dyDescent="0.2">
      <c r="C700" s="1" t="s">
        <v>290</v>
      </c>
      <c r="E700" s="16">
        <v>229</v>
      </c>
      <c r="F700" s="3">
        <v>6224</v>
      </c>
      <c r="G700" s="3">
        <v>26000</v>
      </c>
      <c r="H700" s="3">
        <v>94057</v>
      </c>
      <c r="I700" s="3">
        <v>187626</v>
      </c>
      <c r="J700" s="3">
        <v>87379</v>
      </c>
    </row>
    <row r="701" spans="3:10" x14ac:dyDescent="0.2">
      <c r="C701" s="1" t="s">
        <v>291</v>
      </c>
      <c r="E701" s="16">
        <v>225</v>
      </c>
      <c r="F701" s="3">
        <v>6573</v>
      </c>
      <c r="G701" s="3">
        <v>28218</v>
      </c>
      <c r="H701" s="3">
        <v>110174</v>
      </c>
      <c r="I701" s="3">
        <v>207847</v>
      </c>
      <c r="J701" s="3">
        <v>96608</v>
      </c>
    </row>
    <row r="702" spans="3:10" x14ac:dyDescent="0.2">
      <c r="C702" s="1" t="s">
        <v>292</v>
      </c>
      <c r="E702" s="16">
        <v>227</v>
      </c>
      <c r="F702" s="3">
        <v>7031</v>
      </c>
      <c r="G702" s="3">
        <v>31176</v>
      </c>
      <c r="H702" s="3">
        <v>110233</v>
      </c>
      <c r="I702" s="3">
        <v>210315</v>
      </c>
      <c r="J702" s="3">
        <v>93446</v>
      </c>
    </row>
    <row r="703" spans="3:10" x14ac:dyDescent="0.2">
      <c r="C703" s="1"/>
      <c r="E703" s="16"/>
      <c r="F703" s="3"/>
      <c r="G703" s="3"/>
      <c r="H703" s="3"/>
      <c r="I703" s="3"/>
      <c r="J703" s="3"/>
    </row>
    <row r="704" spans="3:10" x14ac:dyDescent="0.2">
      <c r="C704" s="1" t="s">
        <v>293</v>
      </c>
      <c r="E704" s="16">
        <v>225</v>
      </c>
      <c r="F704" s="3">
        <v>6596</v>
      </c>
      <c r="G704" s="3">
        <v>29611</v>
      </c>
      <c r="H704" s="3">
        <v>94735</v>
      </c>
      <c r="I704" s="3">
        <v>205332</v>
      </c>
      <c r="J704" s="3">
        <v>102746</v>
      </c>
    </row>
    <row r="705" spans="1:10" x14ac:dyDescent="0.2">
      <c r="C705" s="1" t="s">
        <v>294</v>
      </c>
      <c r="E705" s="16">
        <v>206</v>
      </c>
      <c r="F705" s="3">
        <v>6055</v>
      </c>
      <c r="G705" s="3">
        <v>28028</v>
      </c>
      <c r="H705" s="3">
        <v>86954</v>
      </c>
      <c r="I705" s="3">
        <v>186829</v>
      </c>
      <c r="J705" s="3">
        <v>94917</v>
      </c>
    </row>
    <row r="706" spans="1:10" x14ac:dyDescent="0.2">
      <c r="C706" s="1" t="s">
        <v>295</v>
      </c>
      <c r="E706" s="16">
        <v>212</v>
      </c>
      <c r="F706" s="3">
        <v>6127</v>
      </c>
      <c r="G706" s="3">
        <v>28323</v>
      </c>
      <c r="H706" s="3">
        <v>89898</v>
      </c>
      <c r="I706" s="3">
        <v>198164</v>
      </c>
      <c r="J706" s="3">
        <v>101753</v>
      </c>
    </row>
    <row r="707" spans="1:10" x14ac:dyDescent="0.2">
      <c r="C707" s="1" t="s">
        <v>296</v>
      </c>
      <c r="E707" s="16">
        <v>197</v>
      </c>
      <c r="F707" s="3">
        <v>6047</v>
      </c>
      <c r="G707" s="3">
        <v>29583</v>
      </c>
      <c r="H707" s="3">
        <v>94349</v>
      </c>
      <c r="I707" s="3">
        <v>205753</v>
      </c>
      <c r="J707" s="3">
        <v>105114</v>
      </c>
    </row>
    <row r="708" spans="1:10" x14ac:dyDescent="0.2">
      <c r="C708" s="1" t="s">
        <v>297</v>
      </c>
      <c r="E708" s="16">
        <v>195</v>
      </c>
      <c r="F708" s="3">
        <v>5994</v>
      </c>
      <c r="G708" s="3">
        <v>29318</v>
      </c>
      <c r="H708" s="3">
        <v>97264</v>
      </c>
      <c r="I708" s="3">
        <v>206893</v>
      </c>
      <c r="J708" s="3">
        <v>103101</v>
      </c>
    </row>
    <row r="709" spans="1:10" x14ac:dyDescent="0.2">
      <c r="C709" s="1" t="s">
        <v>298</v>
      </c>
      <c r="E709" s="16">
        <v>212</v>
      </c>
      <c r="F709" s="3">
        <v>6329</v>
      </c>
      <c r="G709" s="3">
        <v>31062</v>
      </c>
      <c r="H709" s="3">
        <v>94863</v>
      </c>
      <c r="I709" s="3">
        <v>210455</v>
      </c>
      <c r="J709" s="3">
        <v>106466</v>
      </c>
    </row>
    <row r="710" spans="1:10" x14ac:dyDescent="0.2">
      <c r="C710" s="1"/>
      <c r="E710" s="16"/>
      <c r="F710" s="3"/>
      <c r="G710" s="3"/>
      <c r="H710" s="3"/>
      <c r="I710" s="3"/>
      <c r="J710" s="3"/>
    </row>
    <row r="711" spans="1:10" x14ac:dyDescent="0.2">
      <c r="C711" s="1" t="s">
        <v>327</v>
      </c>
      <c r="D711" s="15"/>
      <c r="E711" s="16">
        <v>198</v>
      </c>
      <c r="F711" s="3">
        <v>6038</v>
      </c>
      <c r="G711" s="3">
        <v>28994</v>
      </c>
      <c r="H711" s="3">
        <v>82870</v>
      </c>
      <c r="I711" s="3">
        <v>188303</v>
      </c>
      <c r="J711" s="3">
        <v>99648</v>
      </c>
    </row>
    <row r="712" spans="1:10" x14ac:dyDescent="0.2">
      <c r="C712" s="1" t="s">
        <v>328</v>
      </c>
      <c r="D712" s="80"/>
      <c r="E712" s="16">
        <v>204</v>
      </c>
      <c r="F712" s="3">
        <v>6330</v>
      </c>
      <c r="G712" s="3">
        <v>29749</v>
      </c>
      <c r="H712" s="3">
        <v>90088</v>
      </c>
      <c r="I712" s="3">
        <v>207593</v>
      </c>
      <c r="J712" s="3">
        <v>108974</v>
      </c>
    </row>
    <row r="713" spans="1:10" x14ac:dyDescent="0.2">
      <c r="C713" s="4" t="s">
        <v>329</v>
      </c>
      <c r="D713" s="15"/>
      <c r="E713" s="88">
        <v>189</v>
      </c>
      <c r="F713" s="39">
        <v>6047</v>
      </c>
      <c r="G713" s="39">
        <v>29054</v>
      </c>
      <c r="H713" s="39">
        <v>85049</v>
      </c>
      <c r="I713" s="39">
        <v>205561</v>
      </c>
      <c r="J713" s="39">
        <v>111615</v>
      </c>
    </row>
    <row r="714" spans="1:10" ht="18" thickBot="1" x14ac:dyDescent="0.25">
      <c r="B714" s="5"/>
      <c r="C714" s="5"/>
      <c r="D714" s="5"/>
      <c r="E714" s="41"/>
      <c r="F714" s="5"/>
      <c r="G714" s="5"/>
      <c r="H714" s="5"/>
      <c r="I714" s="5"/>
      <c r="J714" s="5"/>
    </row>
    <row r="715" spans="1:10" x14ac:dyDescent="0.2">
      <c r="D715" s="1" t="s">
        <v>273</v>
      </c>
      <c r="E715" s="1"/>
      <c r="H715" s="1" t="s">
        <v>330</v>
      </c>
    </row>
    <row r="716" spans="1:10" x14ac:dyDescent="0.2">
      <c r="H716" s="1"/>
    </row>
    <row r="718" spans="1:10" x14ac:dyDescent="0.2">
      <c r="A718" s="1"/>
    </row>
    <row r="719" spans="1:10" x14ac:dyDescent="0.2">
      <c r="A719" s="1"/>
    </row>
    <row r="724" spans="2:10" x14ac:dyDescent="0.2">
      <c r="C724" s="15"/>
      <c r="D724" s="15"/>
      <c r="E724" s="15"/>
      <c r="F724" s="4" t="s">
        <v>303</v>
      </c>
    </row>
    <row r="725" spans="2:10" x14ac:dyDescent="0.2">
      <c r="F725" s="1" t="s">
        <v>304</v>
      </c>
    </row>
    <row r="726" spans="2:10" ht="18" thickBot="1" x14ac:dyDescent="0.25">
      <c r="B726" s="5"/>
      <c r="C726" s="5"/>
      <c r="D726" s="5"/>
      <c r="E726" s="5"/>
      <c r="F726" s="6" t="s">
        <v>331</v>
      </c>
      <c r="G726" s="5"/>
      <c r="H726" s="5"/>
      <c r="I726" s="5"/>
      <c r="J726" s="5"/>
    </row>
    <row r="727" spans="2:10" x14ac:dyDescent="0.2">
      <c r="E727" s="7"/>
      <c r="F727" s="24"/>
      <c r="G727" s="24"/>
      <c r="H727" s="24"/>
      <c r="I727" s="24"/>
      <c r="J727" s="24"/>
    </row>
    <row r="728" spans="2:10" x14ac:dyDescent="0.2">
      <c r="E728" s="11"/>
      <c r="F728" s="10"/>
      <c r="G728" s="26" t="s">
        <v>348</v>
      </c>
      <c r="H728" s="10"/>
      <c r="I728" s="10"/>
      <c r="J728" s="10"/>
    </row>
    <row r="729" spans="2:10" x14ac:dyDescent="0.2">
      <c r="E729" s="7"/>
      <c r="F729" s="7"/>
      <c r="G729" s="7"/>
      <c r="H729" s="8" t="s">
        <v>256</v>
      </c>
      <c r="I729" s="8" t="s">
        <v>257</v>
      </c>
      <c r="J729" s="8" t="s">
        <v>279</v>
      </c>
    </row>
    <row r="730" spans="2:10" x14ac:dyDescent="0.2">
      <c r="B730" s="10"/>
      <c r="C730" s="10"/>
      <c r="D730" s="10"/>
      <c r="E730" s="12" t="s">
        <v>258</v>
      </c>
      <c r="F730" s="12" t="s">
        <v>259</v>
      </c>
      <c r="G730" s="12" t="s">
        <v>6</v>
      </c>
      <c r="H730" s="35" t="s">
        <v>11</v>
      </c>
      <c r="I730" s="35" t="s">
        <v>260</v>
      </c>
      <c r="J730" s="35" t="s">
        <v>261</v>
      </c>
    </row>
    <row r="731" spans="2:10" x14ac:dyDescent="0.2">
      <c r="E731" s="7"/>
      <c r="F731" s="13" t="s">
        <v>14</v>
      </c>
      <c r="G731" s="13" t="s">
        <v>280</v>
      </c>
      <c r="H731" s="13" t="s">
        <v>280</v>
      </c>
      <c r="I731" s="13" t="s">
        <v>280</v>
      </c>
      <c r="J731" s="13" t="s">
        <v>280</v>
      </c>
    </row>
    <row r="732" spans="2:10" x14ac:dyDescent="0.2">
      <c r="C732" s="1" t="s">
        <v>281</v>
      </c>
      <c r="E732" s="16">
        <v>33</v>
      </c>
      <c r="F732" s="3">
        <v>699</v>
      </c>
      <c r="G732" s="3">
        <v>1225</v>
      </c>
      <c r="H732" s="3">
        <v>3272</v>
      </c>
      <c r="I732" s="3">
        <v>5727</v>
      </c>
      <c r="J732" s="3">
        <v>2404</v>
      </c>
    </row>
    <row r="733" spans="2:10" x14ac:dyDescent="0.2">
      <c r="C733" s="1" t="s">
        <v>282</v>
      </c>
      <c r="E733" s="16">
        <v>35</v>
      </c>
      <c r="F733" s="3">
        <v>744</v>
      </c>
      <c r="G733" s="3">
        <v>1460</v>
      </c>
      <c r="H733" s="3">
        <v>3690</v>
      </c>
      <c r="I733" s="3">
        <v>6651</v>
      </c>
      <c r="J733" s="3">
        <v>2820</v>
      </c>
    </row>
    <row r="734" spans="2:10" x14ac:dyDescent="0.2">
      <c r="C734" s="1" t="s">
        <v>283</v>
      </c>
      <c r="E734" s="16">
        <v>32</v>
      </c>
      <c r="F734" s="3">
        <v>793</v>
      </c>
      <c r="G734" s="3">
        <v>1643</v>
      </c>
      <c r="H734" s="3">
        <v>4931</v>
      </c>
      <c r="I734" s="3">
        <v>8317</v>
      </c>
      <c r="J734" s="3">
        <v>3251</v>
      </c>
    </row>
    <row r="735" spans="2:10" x14ac:dyDescent="0.2">
      <c r="C735" s="1" t="s">
        <v>284</v>
      </c>
      <c r="E735" s="16">
        <v>32</v>
      </c>
      <c r="F735" s="3">
        <v>940</v>
      </c>
      <c r="G735" s="3">
        <v>1695</v>
      </c>
      <c r="H735" s="3">
        <v>4636</v>
      </c>
      <c r="I735" s="3">
        <v>8244</v>
      </c>
      <c r="J735" s="3">
        <v>3530</v>
      </c>
    </row>
    <row r="736" spans="2:10" x14ac:dyDescent="0.2">
      <c r="C736" s="1" t="s">
        <v>285</v>
      </c>
      <c r="E736" s="16">
        <v>41</v>
      </c>
      <c r="F736" s="3">
        <v>1085</v>
      </c>
      <c r="G736" s="3">
        <v>2217</v>
      </c>
      <c r="H736" s="3">
        <v>7019</v>
      </c>
      <c r="I736" s="3">
        <v>11767</v>
      </c>
      <c r="J736" s="3">
        <v>4687</v>
      </c>
    </row>
    <row r="737" spans="3:10" x14ac:dyDescent="0.2">
      <c r="C737" s="1" t="s">
        <v>286</v>
      </c>
      <c r="E737" s="16">
        <v>49</v>
      </c>
      <c r="F737" s="3">
        <v>1434</v>
      </c>
      <c r="G737" s="3">
        <v>3303</v>
      </c>
      <c r="H737" s="3">
        <v>9439</v>
      </c>
      <c r="I737" s="3">
        <v>21629</v>
      </c>
      <c r="J737" s="3">
        <v>11901</v>
      </c>
    </row>
    <row r="738" spans="3:10" x14ac:dyDescent="0.2">
      <c r="C738" s="1"/>
      <c r="E738" s="16"/>
      <c r="F738" s="3"/>
      <c r="G738" s="3"/>
      <c r="H738" s="3"/>
      <c r="I738" s="3"/>
      <c r="J738" s="3"/>
    </row>
    <row r="739" spans="3:10" x14ac:dyDescent="0.2">
      <c r="C739" s="1" t="s">
        <v>287</v>
      </c>
      <c r="E739" s="16">
        <v>45</v>
      </c>
      <c r="F739" s="3">
        <v>1312</v>
      </c>
      <c r="G739" s="3">
        <v>2751</v>
      </c>
      <c r="H739" s="3">
        <v>7609</v>
      </c>
      <c r="I739" s="3">
        <v>18478</v>
      </c>
      <c r="J739" s="3">
        <v>10586</v>
      </c>
    </row>
    <row r="740" spans="3:10" x14ac:dyDescent="0.2">
      <c r="C740" s="1" t="s">
        <v>288</v>
      </c>
      <c r="E740" s="16">
        <v>47</v>
      </c>
      <c r="F740" s="3">
        <v>1303</v>
      </c>
      <c r="G740" s="3">
        <v>2818</v>
      </c>
      <c r="H740" s="3">
        <v>6888</v>
      </c>
      <c r="I740" s="3">
        <v>12808</v>
      </c>
      <c r="J740" s="3">
        <v>5699</v>
      </c>
    </row>
    <row r="741" spans="3:10" x14ac:dyDescent="0.2">
      <c r="C741" s="1" t="s">
        <v>289</v>
      </c>
      <c r="E741" s="16">
        <v>47</v>
      </c>
      <c r="F741" s="3">
        <v>1351</v>
      </c>
      <c r="G741" s="3">
        <v>2857</v>
      </c>
      <c r="H741" s="3">
        <v>8171</v>
      </c>
      <c r="I741" s="3">
        <v>13779</v>
      </c>
      <c r="J741" s="3">
        <v>5323</v>
      </c>
    </row>
    <row r="742" spans="3:10" x14ac:dyDescent="0.2">
      <c r="C742" s="1" t="s">
        <v>290</v>
      </c>
      <c r="E742" s="16">
        <v>50</v>
      </c>
      <c r="F742" s="3">
        <v>1757</v>
      </c>
      <c r="G742" s="3">
        <v>4039</v>
      </c>
      <c r="H742" s="3">
        <v>10294</v>
      </c>
      <c r="I742" s="3">
        <v>18908</v>
      </c>
      <c r="J742" s="3">
        <v>8193</v>
      </c>
    </row>
    <row r="743" spans="3:10" x14ac:dyDescent="0.2">
      <c r="C743" s="1" t="s">
        <v>291</v>
      </c>
      <c r="E743" s="16">
        <v>55</v>
      </c>
      <c r="F743" s="3">
        <v>2011</v>
      </c>
      <c r="G743" s="3">
        <v>5169</v>
      </c>
      <c r="H743" s="3">
        <v>14523</v>
      </c>
      <c r="I743" s="3">
        <v>24856</v>
      </c>
      <c r="J743" s="3">
        <v>9837</v>
      </c>
    </row>
    <row r="744" spans="3:10" x14ac:dyDescent="0.2">
      <c r="C744" s="1" t="s">
        <v>292</v>
      </c>
      <c r="E744" s="16">
        <v>57</v>
      </c>
      <c r="F744" s="3">
        <v>2503</v>
      </c>
      <c r="G744" s="3">
        <v>7693</v>
      </c>
      <c r="H744" s="3">
        <v>28784</v>
      </c>
      <c r="I744" s="3">
        <v>48702</v>
      </c>
      <c r="J744" s="3">
        <v>18887</v>
      </c>
    </row>
    <row r="745" spans="3:10" x14ac:dyDescent="0.2">
      <c r="C745" s="1"/>
      <c r="E745" s="16"/>
      <c r="F745" s="3"/>
      <c r="G745" s="3"/>
      <c r="H745" s="3"/>
      <c r="I745" s="3"/>
      <c r="J745" s="3"/>
    </row>
    <row r="746" spans="3:10" x14ac:dyDescent="0.2">
      <c r="C746" s="1" t="s">
        <v>293</v>
      </c>
      <c r="E746" s="16">
        <v>51</v>
      </c>
      <c r="F746" s="3">
        <v>2306</v>
      </c>
      <c r="G746" s="3">
        <v>7689</v>
      </c>
      <c r="H746" s="3">
        <v>26669</v>
      </c>
      <c r="I746" s="3">
        <v>47107</v>
      </c>
      <c r="J746" s="3">
        <v>18031</v>
      </c>
    </row>
    <row r="747" spans="3:10" x14ac:dyDescent="0.2">
      <c r="C747" s="1" t="s">
        <v>294</v>
      </c>
      <c r="E747" s="16">
        <v>47</v>
      </c>
      <c r="F747" s="3">
        <v>2266</v>
      </c>
      <c r="G747" s="3">
        <v>7729</v>
      </c>
      <c r="H747" s="3">
        <v>37092</v>
      </c>
      <c r="I747" s="3">
        <v>54580</v>
      </c>
      <c r="J747" s="3">
        <v>15854</v>
      </c>
    </row>
    <row r="748" spans="3:10" x14ac:dyDescent="0.2">
      <c r="C748" s="1" t="s">
        <v>295</v>
      </c>
      <c r="E748" s="16">
        <v>47</v>
      </c>
      <c r="F748" s="3">
        <v>2387</v>
      </c>
      <c r="G748" s="3">
        <v>8882</v>
      </c>
      <c r="H748" s="3">
        <v>42624</v>
      </c>
      <c r="I748" s="3">
        <v>61606</v>
      </c>
      <c r="J748" s="3">
        <v>17185</v>
      </c>
    </row>
    <row r="749" spans="3:10" x14ac:dyDescent="0.2">
      <c r="C749" s="1" t="s">
        <v>296</v>
      </c>
      <c r="E749" s="16">
        <v>41</v>
      </c>
      <c r="F749" s="3">
        <v>2148</v>
      </c>
      <c r="G749" s="3">
        <v>8018</v>
      </c>
      <c r="H749" s="3">
        <v>38274</v>
      </c>
      <c r="I749" s="3">
        <v>59526</v>
      </c>
      <c r="J749" s="3">
        <v>17700</v>
      </c>
    </row>
    <row r="750" spans="3:10" x14ac:dyDescent="0.2">
      <c r="C750" s="1" t="s">
        <v>297</v>
      </c>
      <c r="E750" s="16">
        <v>41</v>
      </c>
      <c r="F750" s="3">
        <v>2226</v>
      </c>
      <c r="G750" s="3">
        <v>8103</v>
      </c>
      <c r="H750" s="3">
        <v>44013</v>
      </c>
      <c r="I750" s="3">
        <v>65055</v>
      </c>
      <c r="J750" s="3">
        <v>18209</v>
      </c>
    </row>
    <row r="751" spans="3:10" x14ac:dyDescent="0.2">
      <c r="C751" s="1" t="s">
        <v>298</v>
      </c>
      <c r="E751" s="16">
        <v>47</v>
      </c>
      <c r="F751" s="3">
        <v>2205</v>
      </c>
      <c r="G751" s="3">
        <v>8615</v>
      </c>
      <c r="H751" s="3">
        <v>43045</v>
      </c>
      <c r="I751" s="3">
        <v>64223</v>
      </c>
      <c r="J751" s="3">
        <v>18025</v>
      </c>
    </row>
    <row r="752" spans="3:10" x14ac:dyDescent="0.2">
      <c r="C752" s="1"/>
      <c r="E752" s="16"/>
      <c r="F752" s="3"/>
      <c r="G752" s="3"/>
      <c r="H752" s="3"/>
      <c r="I752" s="3"/>
      <c r="J752" s="3"/>
    </row>
    <row r="753" spans="2:10" x14ac:dyDescent="0.2">
      <c r="C753" s="1" t="s">
        <v>327</v>
      </c>
      <c r="D753" s="15"/>
      <c r="E753" s="16">
        <v>47</v>
      </c>
      <c r="F753" s="3">
        <v>2172</v>
      </c>
      <c r="G753" s="3">
        <v>8207</v>
      </c>
      <c r="H753" s="3">
        <v>47272</v>
      </c>
      <c r="I753" s="3">
        <v>72926</v>
      </c>
      <c r="J753" s="3">
        <v>23277</v>
      </c>
    </row>
    <row r="754" spans="2:10" x14ac:dyDescent="0.2">
      <c r="C754" s="1" t="s">
        <v>328</v>
      </c>
      <c r="D754" s="80"/>
      <c r="E754" s="16">
        <v>50</v>
      </c>
      <c r="F754" s="3">
        <v>2561</v>
      </c>
      <c r="G754" s="3">
        <v>9284</v>
      </c>
      <c r="H754" s="3">
        <v>54180</v>
      </c>
      <c r="I754" s="3">
        <v>77157</v>
      </c>
      <c r="J754" s="3">
        <v>18342</v>
      </c>
    </row>
    <row r="755" spans="2:10" x14ac:dyDescent="0.2">
      <c r="C755" s="4" t="s">
        <v>329</v>
      </c>
      <c r="D755" s="15"/>
      <c r="E755" s="88">
        <v>47</v>
      </c>
      <c r="F755" s="39">
        <v>2196</v>
      </c>
      <c r="G755" s="39">
        <v>8698</v>
      </c>
      <c r="H755" s="39">
        <v>45223</v>
      </c>
      <c r="I755" s="39">
        <v>61886</v>
      </c>
      <c r="J755" s="39">
        <v>14069</v>
      </c>
    </row>
    <row r="756" spans="2:10" ht="18" thickBot="1" x14ac:dyDescent="0.25">
      <c r="B756" s="5"/>
      <c r="C756" s="5"/>
      <c r="D756" s="5"/>
      <c r="E756" s="41"/>
      <c r="F756" s="5"/>
      <c r="G756" s="5"/>
      <c r="H756" s="5"/>
      <c r="I756" s="5"/>
      <c r="J756" s="5"/>
    </row>
    <row r="757" spans="2:10" x14ac:dyDescent="0.2">
      <c r="E757" s="7"/>
      <c r="F757" s="24"/>
      <c r="G757" s="24"/>
      <c r="H757" s="24"/>
      <c r="I757" s="24"/>
      <c r="J757" s="24"/>
    </row>
    <row r="758" spans="2:10" x14ac:dyDescent="0.2">
      <c r="E758" s="11"/>
      <c r="F758" s="10"/>
      <c r="G758" s="26" t="s">
        <v>349</v>
      </c>
      <c r="H758" s="10"/>
      <c r="I758" s="10"/>
      <c r="J758" s="10"/>
    </row>
    <row r="759" spans="2:10" x14ac:dyDescent="0.2">
      <c r="E759" s="7"/>
      <c r="F759" s="7"/>
      <c r="G759" s="7"/>
      <c r="H759" s="8" t="s">
        <v>256</v>
      </c>
      <c r="I759" s="8" t="s">
        <v>257</v>
      </c>
      <c r="J759" s="8" t="s">
        <v>279</v>
      </c>
    </row>
    <row r="760" spans="2:10" x14ac:dyDescent="0.2">
      <c r="B760" s="10"/>
      <c r="C760" s="10"/>
      <c r="D760" s="10"/>
      <c r="E760" s="12" t="s">
        <v>258</v>
      </c>
      <c r="F760" s="12" t="s">
        <v>259</v>
      </c>
      <c r="G760" s="12" t="s">
        <v>6</v>
      </c>
      <c r="H760" s="35" t="s">
        <v>11</v>
      </c>
      <c r="I760" s="35" t="s">
        <v>260</v>
      </c>
      <c r="J760" s="35" t="s">
        <v>261</v>
      </c>
    </row>
    <row r="761" spans="2:10" x14ac:dyDescent="0.2">
      <c r="E761" s="7"/>
      <c r="F761" s="13" t="s">
        <v>14</v>
      </c>
      <c r="G761" s="13" t="s">
        <v>280</v>
      </c>
      <c r="H761" s="13" t="s">
        <v>280</v>
      </c>
      <c r="I761" s="13" t="s">
        <v>280</v>
      </c>
      <c r="J761" s="13" t="s">
        <v>280</v>
      </c>
    </row>
    <row r="762" spans="2:10" x14ac:dyDescent="0.2">
      <c r="C762" s="1" t="s">
        <v>281</v>
      </c>
      <c r="E762" s="16">
        <v>49</v>
      </c>
      <c r="F762" s="3">
        <v>1039</v>
      </c>
      <c r="G762" s="3">
        <v>3026</v>
      </c>
      <c r="H762" s="3">
        <v>9969</v>
      </c>
      <c r="I762" s="3">
        <v>23299</v>
      </c>
      <c r="J762" s="3">
        <v>12701</v>
      </c>
    </row>
    <row r="763" spans="2:10" x14ac:dyDescent="0.2">
      <c r="C763" s="1" t="s">
        <v>282</v>
      </c>
      <c r="E763" s="16">
        <v>58</v>
      </c>
      <c r="F763" s="3">
        <v>1126</v>
      </c>
      <c r="G763" s="3">
        <v>3377</v>
      </c>
      <c r="H763" s="3">
        <v>8516</v>
      </c>
      <c r="I763" s="3">
        <v>20802</v>
      </c>
      <c r="J763" s="3">
        <v>10439</v>
      </c>
    </row>
    <row r="764" spans="2:10" x14ac:dyDescent="0.2">
      <c r="C764" s="1" t="s">
        <v>283</v>
      </c>
      <c r="E764" s="16">
        <v>55</v>
      </c>
      <c r="F764" s="3">
        <v>1043</v>
      </c>
      <c r="G764" s="3">
        <v>3321</v>
      </c>
      <c r="H764" s="3">
        <v>7644</v>
      </c>
      <c r="I764" s="3">
        <v>16768</v>
      </c>
      <c r="J764" s="3">
        <v>9323</v>
      </c>
    </row>
    <row r="765" spans="2:10" x14ac:dyDescent="0.2">
      <c r="C765" s="1" t="s">
        <v>284</v>
      </c>
      <c r="E765" s="16">
        <v>50</v>
      </c>
      <c r="F765" s="3">
        <v>961</v>
      </c>
      <c r="G765" s="3">
        <v>3068</v>
      </c>
      <c r="H765" s="3">
        <v>5742</v>
      </c>
      <c r="I765" s="3">
        <v>13166</v>
      </c>
      <c r="J765" s="3">
        <v>6695</v>
      </c>
    </row>
    <row r="766" spans="2:10" x14ac:dyDescent="0.2">
      <c r="C766" s="1" t="s">
        <v>285</v>
      </c>
      <c r="E766" s="16">
        <v>44</v>
      </c>
      <c r="F766" s="3">
        <v>847</v>
      </c>
      <c r="G766" s="3">
        <v>3031</v>
      </c>
      <c r="H766" s="3">
        <v>5070</v>
      </c>
      <c r="I766" s="3">
        <v>10689</v>
      </c>
      <c r="J766" s="3">
        <v>5544</v>
      </c>
    </row>
    <row r="767" spans="2:10" x14ac:dyDescent="0.2">
      <c r="C767" s="1" t="s">
        <v>286</v>
      </c>
      <c r="E767" s="16">
        <v>49</v>
      </c>
      <c r="F767" s="3">
        <v>784</v>
      </c>
      <c r="G767" s="3">
        <v>3133</v>
      </c>
      <c r="H767" s="3">
        <v>5185</v>
      </c>
      <c r="I767" s="3">
        <v>11038</v>
      </c>
      <c r="J767" s="3">
        <v>5454</v>
      </c>
    </row>
    <row r="768" spans="2:10" x14ac:dyDescent="0.2">
      <c r="C768" s="1"/>
      <c r="E768" s="16"/>
      <c r="F768" s="3"/>
      <c r="G768" s="3"/>
      <c r="H768" s="3"/>
      <c r="I768" s="3"/>
      <c r="J768" s="3"/>
    </row>
    <row r="769" spans="3:10" x14ac:dyDescent="0.2">
      <c r="C769" s="1" t="s">
        <v>287</v>
      </c>
      <c r="E769" s="16">
        <v>45</v>
      </c>
      <c r="F769" s="3">
        <v>779</v>
      </c>
      <c r="G769" s="3">
        <v>2680</v>
      </c>
      <c r="H769" s="3">
        <v>4403</v>
      </c>
      <c r="I769" s="3">
        <v>9514</v>
      </c>
      <c r="J769" s="3">
        <v>4751</v>
      </c>
    </row>
    <row r="770" spans="3:10" x14ac:dyDescent="0.2">
      <c r="C770" s="1" t="s">
        <v>288</v>
      </c>
      <c r="E770" s="16">
        <v>46</v>
      </c>
      <c r="F770" s="3">
        <v>727</v>
      </c>
      <c r="G770" s="3">
        <v>3565</v>
      </c>
      <c r="H770" s="3">
        <v>4457</v>
      </c>
      <c r="I770" s="3">
        <v>10534</v>
      </c>
      <c r="J770" s="3">
        <v>5870</v>
      </c>
    </row>
    <row r="771" spans="3:10" x14ac:dyDescent="0.2">
      <c r="C771" s="1" t="s">
        <v>289</v>
      </c>
      <c r="E771" s="16">
        <v>41</v>
      </c>
      <c r="F771" s="3">
        <v>707</v>
      </c>
      <c r="G771" s="3">
        <v>2493</v>
      </c>
      <c r="H771" s="3">
        <v>3018</v>
      </c>
      <c r="I771" s="3">
        <v>7820</v>
      </c>
      <c r="J771" s="3">
        <v>4504</v>
      </c>
    </row>
    <row r="772" spans="3:10" x14ac:dyDescent="0.2">
      <c r="C772" s="1" t="s">
        <v>290</v>
      </c>
      <c r="E772" s="16">
        <v>45</v>
      </c>
      <c r="F772" s="3">
        <v>784</v>
      </c>
      <c r="G772" s="3">
        <v>2993</v>
      </c>
      <c r="H772" s="3">
        <v>6457</v>
      </c>
      <c r="I772" s="3">
        <v>12528</v>
      </c>
      <c r="J772" s="3">
        <v>5931</v>
      </c>
    </row>
    <row r="773" spans="3:10" x14ac:dyDescent="0.2">
      <c r="C773" s="1" t="s">
        <v>291</v>
      </c>
      <c r="E773" s="16">
        <v>37</v>
      </c>
      <c r="F773" s="3">
        <v>771</v>
      </c>
      <c r="G773" s="3">
        <v>3351</v>
      </c>
      <c r="H773" s="3">
        <v>6899</v>
      </c>
      <c r="I773" s="3">
        <v>14416</v>
      </c>
      <c r="J773" s="3">
        <v>8808</v>
      </c>
    </row>
    <row r="774" spans="3:10" x14ac:dyDescent="0.2">
      <c r="C774" s="1" t="s">
        <v>292</v>
      </c>
      <c r="E774" s="16">
        <v>31</v>
      </c>
      <c r="F774" s="3">
        <v>699</v>
      </c>
      <c r="G774" s="3">
        <v>3047</v>
      </c>
      <c r="H774" s="3">
        <v>10289</v>
      </c>
      <c r="I774" s="3">
        <v>18261</v>
      </c>
      <c r="J774" s="3">
        <v>5604</v>
      </c>
    </row>
    <row r="775" spans="3:10" x14ac:dyDescent="0.2">
      <c r="C775" s="1"/>
      <c r="E775" s="16"/>
      <c r="F775" s="3"/>
      <c r="G775" s="3"/>
      <c r="H775" s="3"/>
      <c r="I775" s="3"/>
      <c r="J775" s="3"/>
    </row>
    <row r="776" spans="3:10" x14ac:dyDescent="0.2">
      <c r="C776" s="1" t="s">
        <v>293</v>
      </c>
      <c r="E776" s="16">
        <v>38</v>
      </c>
      <c r="F776" s="3">
        <v>607</v>
      </c>
      <c r="G776" s="3">
        <v>2794</v>
      </c>
      <c r="H776" s="3">
        <v>8294</v>
      </c>
      <c r="I776" s="3">
        <v>12746</v>
      </c>
      <c r="J776" s="3">
        <v>6279</v>
      </c>
    </row>
    <row r="777" spans="3:10" x14ac:dyDescent="0.2">
      <c r="C777" s="1" t="s">
        <v>294</v>
      </c>
      <c r="E777" s="16">
        <v>35</v>
      </c>
      <c r="F777" s="3">
        <v>571</v>
      </c>
      <c r="G777" s="3">
        <v>2794</v>
      </c>
      <c r="H777" s="3">
        <v>6925</v>
      </c>
      <c r="I777" s="3">
        <v>10553</v>
      </c>
      <c r="J777" s="3">
        <v>5218</v>
      </c>
    </row>
    <row r="778" spans="3:10" x14ac:dyDescent="0.2">
      <c r="C778" s="1" t="s">
        <v>295</v>
      </c>
      <c r="E778" s="16">
        <v>35</v>
      </c>
      <c r="F778" s="3">
        <v>763</v>
      </c>
      <c r="G778" s="3">
        <v>3373</v>
      </c>
      <c r="H778" s="3">
        <v>7818</v>
      </c>
      <c r="I778" s="3">
        <v>12302</v>
      </c>
      <c r="J778" s="3">
        <v>4480</v>
      </c>
    </row>
    <row r="779" spans="3:10" x14ac:dyDescent="0.2">
      <c r="C779" s="1" t="s">
        <v>296</v>
      </c>
      <c r="E779" s="16">
        <v>34</v>
      </c>
      <c r="F779" s="3">
        <v>748</v>
      </c>
      <c r="G779" s="3">
        <v>3682</v>
      </c>
      <c r="H779" s="3">
        <v>6773</v>
      </c>
      <c r="I779" s="3">
        <v>12419</v>
      </c>
      <c r="J779" s="3">
        <v>5097</v>
      </c>
    </row>
    <row r="780" spans="3:10" x14ac:dyDescent="0.2">
      <c r="C780" s="1" t="s">
        <v>297</v>
      </c>
      <c r="E780" s="16">
        <v>34</v>
      </c>
      <c r="F780" s="3">
        <v>743</v>
      </c>
      <c r="G780" s="3">
        <v>3431</v>
      </c>
      <c r="H780" s="3">
        <v>7808</v>
      </c>
      <c r="I780" s="3">
        <v>14732</v>
      </c>
      <c r="J780" s="3">
        <v>6561</v>
      </c>
    </row>
    <row r="781" spans="3:10" x14ac:dyDescent="0.2">
      <c r="C781" s="1" t="s">
        <v>298</v>
      </c>
      <c r="E781" s="16">
        <v>39</v>
      </c>
      <c r="F781" s="3">
        <v>777</v>
      </c>
      <c r="G781" s="3">
        <v>3777</v>
      </c>
      <c r="H781" s="3">
        <v>6489</v>
      </c>
      <c r="I781" s="3">
        <v>12232</v>
      </c>
      <c r="J781" s="3">
        <v>5282</v>
      </c>
    </row>
    <row r="782" spans="3:10" x14ac:dyDescent="0.2">
      <c r="C782" s="1"/>
      <c r="E782" s="16"/>
      <c r="F782" s="3"/>
      <c r="G782" s="3"/>
      <c r="H782" s="3"/>
      <c r="I782" s="3"/>
      <c r="J782" s="3"/>
    </row>
    <row r="783" spans="3:10" x14ac:dyDescent="0.2">
      <c r="C783" s="1" t="s">
        <v>327</v>
      </c>
      <c r="D783" s="15"/>
      <c r="E783" s="16">
        <v>33</v>
      </c>
      <c r="F783" s="3">
        <v>653</v>
      </c>
      <c r="G783" s="3">
        <v>2454</v>
      </c>
      <c r="H783" s="3">
        <v>4757</v>
      </c>
      <c r="I783" s="3">
        <v>10794</v>
      </c>
      <c r="J783" s="3">
        <v>5462</v>
      </c>
    </row>
    <row r="784" spans="3:10" x14ac:dyDescent="0.2">
      <c r="C784" s="1" t="s">
        <v>328</v>
      </c>
      <c r="D784" s="80"/>
      <c r="E784" s="16">
        <v>32</v>
      </c>
      <c r="F784" s="3">
        <v>507</v>
      </c>
      <c r="G784" s="3">
        <v>2173</v>
      </c>
      <c r="H784" s="3">
        <v>4714</v>
      </c>
      <c r="I784" s="3">
        <v>9523</v>
      </c>
      <c r="J784" s="3">
        <v>4423</v>
      </c>
    </row>
    <row r="785" spans="1:10" x14ac:dyDescent="0.2">
      <c r="C785" s="4" t="s">
        <v>329</v>
      </c>
      <c r="D785" s="15"/>
      <c r="E785" s="88">
        <v>32</v>
      </c>
      <c r="F785" s="39">
        <v>491</v>
      </c>
      <c r="G785" s="39">
        <v>2099</v>
      </c>
      <c r="H785" s="39">
        <v>4098</v>
      </c>
      <c r="I785" s="39">
        <v>8597</v>
      </c>
      <c r="J785" s="39">
        <v>4262</v>
      </c>
    </row>
    <row r="786" spans="1:10" ht="18" thickBot="1" x14ac:dyDescent="0.25">
      <c r="B786" s="5"/>
      <c r="C786" s="5"/>
      <c r="D786" s="5"/>
      <c r="E786" s="41"/>
      <c r="F786" s="5"/>
      <c r="G786" s="5"/>
      <c r="H786" s="5"/>
      <c r="I786" s="5"/>
      <c r="J786" s="5"/>
    </row>
    <row r="787" spans="1:10" x14ac:dyDescent="0.2">
      <c r="D787" s="1" t="s">
        <v>350</v>
      </c>
      <c r="E787" s="1"/>
      <c r="H787" s="1" t="s">
        <v>330</v>
      </c>
    </row>
    <row r="788" spans="1:10" x14ac:dyDescent="0.2">
      <c r="H788" s="1"/>
    </row>
    <row r="790" spans="1:10" x14ac:dyDescent="0.2">
      <c r="A790" s="1"/>
    </row>
    <row r="791" spans="1:10" x14ac:dyDescent="0.2">
      <c r="A791" s="1"/>
    </row>
    <row r="796" spans="1:10" x14ac:dyDescent="0.2">
      <c r="C796" s="15"/>
      <c r="D796" s="15"/>
      <c r="E796" s="15"/>
      <c r="F796" s="4" t="s">
        <v>303</v>
      </c>
    </row>
    <row r="797" spans="1:10" x14ac:dyDescent="0.2">
      <c r="F797" s="1" t="s">
        <v>304</v>
      </c>
    </row>
    <row r="798" spans="1:10" ht="18" thickBot="1" x14ac:dyDescent="0.25">
      <c r="B798" s="5"/>
      <c r="C798" s="5"/>
      <c r="D798" s="5"/>
      <c r="E798" s="5"/>
      <c r="F798" s="6" t="s">
        <v>331</v>
      </c>
      <c r="G798" s="5"/>
      <c r="H798" s="5"/>
      <c r="I798" s="5"/>
      <c r="J798" s="5"/>
    </row>
    <row r="799" spans="1:10" x14ac:dyDescent="0.2">
      <c r="E799" s="7"/>
      <c r="F799" s="24"/>
      <c r="G799" s="24"/>
      <c r="H799" s="24"/>
      <c r="I799" s="24"/>
      <c r="J799" s="24"/>
    </row>
    <row r="800" spans="1:10" x14ac:dyDescent="0.2">
      <c r="E800" s="11"/>
      <c r="F800" s="10"/>
      <c r="G800" s="26" t="s">
        <v>351</v>
      </c>
      <c r="H800" s="10"/>
      <c r="I800" s="10"/>
      <c r="J800" s="10"/>
    </row>
    <row r="801" spans="2:10" x14ac:dyDescent="0.2">
      <c r="E801" s="7"/>
      <c r="F801" s="7"/>
      <c r="G801" s="7"/>
      <c r="H801" s="8" t="s">
        <v>256</v>
      </c>
      <c r="I801" s="8" t="s">
        <v>257</v>
      </c>
      <c r="J801" s="8" t="s">
        <v>279</v>
      </c>
    </row>
    <row r="802" spans="2:10" x14ac:dyDescent="0.2">
      <c r="B802" s="10"/>
      <c r="C802" s="10"/>
      <c r="D802" s="10"/>
      <c r="E802" s="12" t="s">
        <v>258</v>
      </c>
      <c r="F802" s="12" t="s">
        <v>259</v>
      </c>
      <c r="G802" s="12" t="s">
        <v>6</v>
      </c>
      <c r="H802" s="35" t="s">
        <v>11</v>
      </c>
      <c r="I802" s="35" t="s">
        <v>260</v>
      </c>
      <c r="J802" s="35" t="s">
        <v>261</v>
      </c>
    </row>
    <row r="803" spans="2:10" x14ac:dyDescent="0.2">
      <c r="E803" s="7"/>
      <c r="F803" s="13" t="s">
        <v>14</v>
      </c>
      <c r="G803" s="13" t="s">
        <v>280</v>
      </c>
      <c r="H803" s="13" t="s">
        <v>280</v>
      </c>
      <c r="I803" s="13" t="s">
        <v>280</v>
      </c>
      <c r="J803" s="13" t="s">
        <v>280</v>
      </c>
    </row>
    <row r="804" spans="2:10" x14ac:dyDescent="0.2">
      <c r="C804" s="1" t="s">
        <v>281</v>
      </c>
      <c r="E804" s="16">
        <v>16</v>
      </c>
      <c r="F804" s="3">
        <v>754</v>
      </c>
      <c r="G804" s="3">
        <v>2064</v>
      </c>
      <c r="H804" s="3">
        <v>9538</v>
      </c>
      <c r="I804" s="3">
        <v>19510</v>
      </c>
      <c r="J804" s="3">
        <v>10789</v>
      </c>
    </row>
    <row r="805" spans="2:10" x14ac:dyDescent="0.2">
      <c r="C805" s="1" t="s">
        <v>282</v>
      </c>
      <c r="E805" s="16">
        <v>16</v>
      </c>
      <c r="F805" s="3">
        <v>722</v>
      </c>
      <c r="G805" s="3">
        <v>2195</v>
      </c>
      <c r="H805" s="3">
        <v>10997</v>
      </c>
      <c r="I805" s="3">
        <v>23455</v>
      </c>
      <c r="J805" s="3">
        <v>11996</v>
      </c>
    </row>
    <row r="806" spans="2:10" x14ac:dyDescent="0.2">
      <c r="C806" s="1" t="s">
        <v>283</v>
      </c>
      <c r="E806" s="16">
        <v>20</v>
      </c>
      <c r="F806" s="3">
        <v>840</v>
      </c>
      <c r="G806" s="3">
        <v>2347</v>
      </c>
      <c r="H806" s="3">
        <v>12617</v>
      </c>
      <c r="I806" s="3">
        <v>27531</v>
      </c>
      <c r="J806" s="3">
        <v>14238</v>
      </c>
    </row>
    <row r="807" spans="2:10" x14ac:dyDescent="0.2">
      <c r="C807" s="1" t="s">
        <v>284</v>
      </c>
      <c r="E807" s="16">
        <v>17</v>
      </c>
      <c r="F807" s="3">
        <v>917</v>
      </c>
      <c r="G807" s="3">
        <v>2746</v>
      </c>
      <c r="H807" s="3">
        <v>15592</v>
      </c>
      <c r="I807" s="3">
        <v>27127</v>
      </c>
      <c r="J807" s="3">
        <v>11449</v>
      </c>
    </row>
    <row r="808" spans="2:10" x14ac:dyDescent="0.2">
      <c r="C808" s="1" t="s">
        <v>285</v>
      </c>
      <c r="E808" s="16">
        <v>16</v>
      </c>
      <c r="F808" s="3">
        <v>1051</v>
      </c>
      <c r="G808" s="3">
        <v>3387</v>
      </c>
      <c r="H808" s="3">
        <v>21133</v>
      </c>
      <c r="I808" s="3">
        <v>35261</v>
      </c>
      <c r="J808" s="3">
        <v>14817</v>
      </c>
    </row>
    <row r="809" spans="2:10" x14ac:dyDescent="0.2">
      <c r="C809" s="1" t="s">
        <v>286</v>
      </c>
      <c r="E809" s="16">
        <v>18</v>
      </c>
      <c r="F809" s="3">
        <v>1151</v>
      </c>
      <c r="G809" s="3">
        <v>4010</v>
      </c>
      <c r="H809" s="3">
        <v>16497</v>
      </c>
      <c r="I809" s="3">
        <v>32807</v>
      </c>
      <c r="J809" s="3">
        <v>15455</v>
      </c>
    </row>
    <row r="810" spans="2:10" x14ac:dyDescent="0.2">
      <c r="C810" s="1"/>
      <c r="E810" s="16"/>
      <c r="F810" s="3"/>
      <c r="G810" s="3"/>
      <c r="H810" s="3"/>
      <c r="I810" s="3"/>
      <c r="J810" s="3"/>
    </row>
    <row r="811" spans="2:10" x14ac:dyDescent="0.2">
      <c r="C811" s="1" t="s">
        <v>287</v>
      </c>
      <c r="E811" s="16">
        <v>15</v>
      </c>
      <c r="F811" s="3">
        <v>1106</v>
      </c>
      <c r="G811" s="3">
        <v>3905</v>
      </c>
      <c r="H811" s="3">
        <v>15953</v>
      </c>
      <c r="I811" s="3">
        <v>32308</v>
      </c>
      <c r="J811" s="3">
        <v>15063</v>
      </c>
    </row>
    <row r="812" spans="2:10" x14ac:dyDescent="0.2">
      <c r="C812" s="1" t="s">
        <v>288</v>
      </c>
      <c r="E812" s="16">
        <v>20</v>
      </c>
      <c r="F812" s="3">
        <v>1270</v>
      </c>
      <c r="G812" s="3">
        <v>3837</v>
      </c>
      <c r="H812" s="3">
        <v>20439</v>
      </c>
      <c r="I812" s="3">
        <v>35236</v>
      </c>
      <c r="J812" s="3">
        <v>11576</v>
      </c>
    </row>
    <row r="813" spans="2:10" x14ac:dyDescent="0.2">
      <c r="C813" s="1" t="s">
        <v>289</v>
      </c>
      <c r="E813" s="16">
        <v>19</v>
      </c>
      <c r="F813" s="3">
        <v>1404</v>
      </c>
      <c r="G813" s="3">
        <v>4607</v>
      </c>
      <c r="H813" s="3">
        <v>18643</v>
      </c>
      <c r="I813" s="3">
        <v>37381</v>
      </c>
      <c r="J813" s="3">
        <v>18683</v>
      </c>
    </row>
    <row r="814" spans="2:10" x14ac:dyDescent="0.2">
      <c r="C814" s="1" t="s">
        <v>290</v>
      </c>
      <c r="E814" s="16">
        <v>19</v>
      </c>
      <c r="F814" s="3">
        <v>1660</v>
      </c>
      <c r="G814" s="3">
        <v>5901</v>
      </c>
      <c r="H814" s="3">
        <v>19890</v>
      </c>
      <c r="I814" s="3">
        <v>41624</v>
      </c>
      <c r="J814" s="3">
        <v>22596</v>
      </c>
    </row>
    <row r="815" spans="2:10" x14ac:dyDescent="0.2">
      <c r="C815" s="1" t="s">
        <v>291</v>
      </c>
      <c r="E815" s="16">
        <v>18</v>
      </c>
      <c r="F815" s="3">
        <v>1363</v>
      </c>
      <c r="G815" s="3">
        <v>5915</v>
      </c>
      <c r="H815" s="3">
        <v>21647</v>
      </c>
      <c r="I815" s="3">
        <v>45690</v>
      </c>
      <c r="J815" s="3">
        <v>23837</v>
      </c>
    </row>
    <row r="816" spans="2:10" x14ac:dyDescent="0.2">
      <c r="C816" s="1" t="s">
        <v>292</v>
      </c>
      <c r="E816" s="16">
        <v>16</v>
      </c>
      <c r="F816" s="3">
        <v>1397</v>
      </c>
      <c r="G816" s="3">
        <v>5931</v>
      </c>
      <c r="H816" s="3">
        <v>21328</v>
      </c>
      <c r="I816" s="3">
        <v>44169</v>
      </c>
      <c r="J816" s="3">
        <v>20772</v>
      </c>
    </row>
    <row r="817" spans="2:10" x14ac:dyDescent="0.2">
      <c r="C817" s="1"/>
      <c r="E817" s="16"/>
      <c r="F817" s="3"/>
      <c r="G817" s="3"/>
      <c r="H817" s="3"/>
      <c r="I817" s="3"/>
      <c r="J817" s="3"/>
    </row>
    <row r="818" spans="2:10" x14ac:dyDescent="0.2">
      <c r="C818" s="1" t="s">
        <v>293</v>
      </c>
      <c r="E818" s="16">
        <v>16</v>
      </c>
      <c r="F818" s="3">
        <v>1390</v>
      </c>
      <c r="G818" s="3">
        <v>5897</v>
      </c>
      <c r="H818" s="3">
        <v>22411</v>
      </c>
      <c r="I818" s="3">
        <v>46892</v>
      </c>
      <c r="J818" s="3">
        <v>19450</v>
      </c>
    </row>
    <row r="819" spans="2:10" x14ac:dyDescent="0.2">
      <c r="C819" s="1" t="s">
        <v>294</v>
      </c>
      <c r="E819" s="16">
        <v>17</v>
      </c>
      <c r="F819" s="3">
        <v>1387</v>
      </c>
      <c r="G819" s="3">
        <v>6559</v>
      </c>
      <c r="H819" s="3">
        <v>20408</v>
      </c>
      <c r="I819" s="3">
        <v>41664</v>
      </c>
      <c r="J819" s="3">
        <v>18182</v>
      </c>
    </row>
    <row r="820" spans="2:10" x14ac:dyDescent="0.2">
      <c r="C820" s="1" t="s">
        <v>295</v>
      </c>
      <c r="E820" s="16">
        <v>16</v>
      </c>
      <c r="F820" s="3">
        <v>1798</v>
      </c>
      <c r="G820" s="3">
        <v>6623</v>
      </c>
      <c r="H820" s="3">
        <v>20876</v>
      </c>
      <c r="I820" s="3">
        <v>44733</v>
      </c>
      <c r="J820" s="3">
        <v>21205</v>
      </c>
    </row>
    <row r="821" spans="2:10" x14ac:dyDescent="0.2">
      <c r="C821" s="1" t="s">
        <v>296</v>
      </c>
      <c r="E821" s="16">
        <v>16</v>
      </c>
      <c r="F821" s="3">
        <v>1795</v>
      </c>
      <c r="G821" s="3">
        <v>7158</v>
      </c>
      <c r="H821" s="3">
        <v>20489</v>
      </c>
      <c r="I821" s="3">
        <v>47075</v>
      </c>
      <c r="J821" s="3">
        <v>23622</v>
      </c>
    </row>
    <row r="822" spans="2:10" x14ac:dyDescent="0.2">
      <c r="C822" s="1" t="s">
        <v>297</v>
      </c>
      <c r="E822" s="16">
        <v>15</v>
      </c>
      <c r="F822" s="3">
        <v>1769</v>
      </c>
      <c r="G822" s="3">
        <v>7778</v>
      </c>
      <c r="H822" s="3">
        <v>26036</v>
      </c>
      <c r="I822" s="3">
        <v>60482</v>
      </c>
      <c r="J822" s="3">
        <v>31554</v>
      </c>
    </row>
    <row r="823" spans="2:10" x14ac:dyDescent="0.2">
      <c r="C823" s="1" t="s">
        <v>298</v>
      </c>
      <c r="E823" s="16">
        <v>19</v>
      </c>
      <c r="F823" s="3">
        <v>1860</v>
      </c>
      <c r="G823" s="3">
        <v>8059</v>
      </c>
      <c r="H823" s="3">
        <v>26626</v>
      </c>
      <c r="I823" s="3">
        <v>62795</v>
      </c>
      <c r="J823" s="3">
        <v>33305</v>
      </c>
    </row>
    <row r="824" spans="2:10" x14ac:dyDescent="0.2">
      <c r="C824" s="1"/>
      <c r="E824" s="16"/>
      <c r="F824" s="3"/>
      <c r="G824" s="3"/>
      <c r="H824" s="3"/>
      <c r="I824" s="3"/>
      <c r="J824" s="3"/>
    </row>
    <row r="825" spans="2:10" x14ac:dyDescent="0.2">
      <c r="C825" s="1" t="s">
        <v>327</v>
      </c>
      <c r="D825" s="15"/>
      <c r="E825" s="16">
        <v>17</v>
      </c>
      <c r="F825" s="3">
        <v>1877</v>
      </c>
      <c r="G825" s="3">
        <v>8120</v>
      </c>
      <c r="H825" s="3">
        <v>23141</v>
      </c>
      <c r="I825" s="3">
        <v>55978</v>
      </c>
      <c r="J825" s="3">
        <v>28680</v>
      </c>
    </row>
    <row r="826" spans="2:10" x14ac:dyDescent="0.2">
      <c r="C826" s="1" t="s">
        <v>328</v>
      </c>
      <c r="D826" s="80"/>
      <c r="E826" s="16">
        <v>16</v>
      </c>
      <c r="F826" s="3">
        <v>2035</v>
      </c>
      <c r="G826" s="3">
        <v>8531</v>
      </c>
      <c r="H826" s="3">
        <v>26367</v>
      </c>
      <c r="I826" s="3">
        <v>58311</v>
      </c>
      <c r="J826" s="3">
        <v>30352</v>
      </c>
    </row>
    <row r="827" spans="2:10" x14ac:dyDescent="0.2">
      <c r="C827" s="4" t="s">
        <v>329</v>
      </c>
      <c r="D827" s="15"/>
      <c r="E827" s="88">
        <v>14</v>
      </c>
      <c r="F827" s="39">
        <v>2122</v>
      </c>
      <c r="G827" s="39">
        <v>9188</v>
      </c>
      <c r="H827" s="39">
        <v>27511</v>
      </c>
      <c r="I827" s="39">
        <v>53596</v>
      </c>
      <c r="J827" s="39">
        <v>23727</v>
      </c>
    </row>
    <row r="828" spans="2:10" ht="18" thickBot="1" x14ac:dyDescent="0.25">
      <c r="B828" s="5"/>
      <c r="C828" s="5"/>
      <c r="D828" s="5"/>
      <c r="E828" s="41"/>
      <c r="F828" s="5"/>
      <c r="G828" s="5"/>
      <c r="H828" s="5"/>
      <c r="I828" s="5"/>
      <c r="J828" s="5"/>
    </row>
    <row r="829" spans="2:10" x14ac:dyDescent="0.2">
      <c r="E829" s="7"/>
      <c r="F829" s="24"/>
      <c r="G829" s="24"/>
      <c r="H829" s="24"/>
      <c r="I829" s="24"/>
      <c r="J829" s="24"/>
    </row>
    <row r="830" spans="2:10" x14ac:dyDescent="0.2">
      <c r="E830" s="35" t="s">
        <v>352</v>
      </c>
      <c r="F830" s="10"/>
      <c r="G830" s="10"/>
      <c r="H830" s="10"/>
      <c r="I830" s="10"/>
      <c r="J830" s="10"/>
    </row>
    <row r="831" spans="2:10" x14ac:dyDescent="0.2">
      <c r="E831" s="7"/>
      <c r="F831" s="7"/>
      <c r="G831" s="7"/>
      <c r="H831" s="8" t="s">
        <v>256</v>
      </c>
      <c r="I831" s="8" t="s">
        <v>257</v>
      </c>
      <c r="J831" s="8" t="s">
        <v>279</v>
      </c>
    </row>
    <row r="832" spans="2:10" x14ac:dyDescent="0.2">
      <c r="B832" s="10"/>
      <c r="C832" s="10"/>
      <c r="D832" s="10"/>
      <c r="E832" s="12" t="s">
        <v>258</v>
      </c>
      <c r="F832" s="12" t="s">
        <v>259</v>
      </c>
      <c r="G832" s="12" t="s">
        <v>6</v>
      </c>
      <c r="H832" s="35" t="s">
        <v>11</v>
      </c>
      <c r="I832" s="35" t="s">
        <v>260</v>
      </c>
      <c r="J832" s="35" t="s">
        <v>261</v>
      </c>
    </row>
    <row r="833" spans="3:10" x14ac:dyDescent="0.2">
      <c r="E833" s="7"/>
      <c r="F833" s="13" t="s">
        <v>14</v>
      </c>
      <c r="G833" s="13" t="s">
        <v>280</v>
      </c>
      <c r="H833" s="13" t="s">
        <v>280</v>
      </c>
      <c r="I833" s="13" t="s">
        <v>280</v>
      </c>
      <c r="J833" s="13" t="s">
        <v>280</v>
      </c>
    </row>
    <row r="834" spans="3:10" x14ac:dyDescent="0.2">
      <c r="C834" s="1" t="s">
        <v>281</v>
      </c>
      <c r="E834" s="16">
        <v>390</v>
      </c>
      <c r="F834" s="3">
        <v>4775</v>
      </c>
      <c r="G834" s="3">
        <v>8756</v>
      </c>
      <c r="H834" s="3">
        <v>30425</v>
      </c>
      <c r="I834" s="3">
        <v>52620</v>
      </c>
      <c r="J834" s="3">
        <v>21378</v>
      </c>
    </row>
    <row r="835" spans="3:10" x14ac:dyDescent="0.2">
      <c r="C835" s="1" t="s">
        <v>282</v>
      </c>
      <c r="E835" s="16">
        <v>400</v>
      </c>
      <c r="F835" s="3">
        <v>4729</v>
      </c>
      <c r="G835" s="3">
        <v>8577</v>
      </c>
      <c r="H835" s="3">
        <v>28874</v>
      </c>
      <c r="I835" s="3">
        <v>48629</v>
      </c>
      <c r="J835" s="3">
        <v>18962</v>
      </c>
    </row>
    <row r="836" spans="3:10" x14ac:dyDescent="0.2">
      <c r="C836" s="1" t="s">
        <v>283</v>
      </c>
      <c r="E836" s="16">
        <v>390</v>
      </c>
      <c r="F836" s="3">
        <v>4717</v>
      </c>
      <c r="G836" s="3">
        <v>8860</v>
      </c>
      <c r="H836" s="3">
        <v>31968</v>
      </c>
      <c r="I836" s="3">
        <v>53761</v>
      </c>
      <c r="J836" s="3">
        <v>20922</v>
      </c>
    </row>
    <row r="837" spans="3:10" x14ac:dyDescent="0.2">
      <c r="C837" s="1" t="s">
        <v>284</v>
      </c>
      <c r="E837" s="16">
        <v>372</v>
      </c>
      <c r="F837" s="3">
        <v>4582</v>
      </c>
      <c r="G837" s="3">
        <v>9261</v>
      </c>
      <c r="H837" s="3">
        <v>33198</v>
      </c>
      <c r="I837" s="3">
        <v>56633</v>
      </c>
      <c r="J837" s="3">
        <v>22844</v>
      </c>
    </row>
    <row r="838" spans="3:10" x14ac:dyDescent="0.2">
      <c r="C838" s="1" t="s">
        <v>285</v>
      </c>
      <c r="E838" s="16">
        <v>241</v>
      </c>
      <c r="F838" s="3">
        <v>2826</v>
      </c>
      <c r="G838" s="3">
        <v>5678</v>
      </c>
      <c r="H838" s="3">
        <v>16923</v>
      </c>
      <c r="I838" s="3">
        <v>29249</v>
      </c>
      <c r="J838" s="3">
        <v>11773</v>
      </c>
    </row>
    <row r="839" spans="3:10" x14ac:dyDescent="0.2">
      <c r="C839" s="1" t="s">
        <v>286</v>
      </c>
      <c r="E839" s="16">
        <v>230</v>
      </c>
      <c r="F839" s="3">
        <v>2812</v>
      </c>
      <c r="G839" s="3">
        <v>5603</v>
      </c>
      <c r="H839" s="3">
        <v>16287</v>
      </c>
      <c r="I839" s="3">
        <v>28876</v>
      </c>
      <c r="J839" s="3">
        <v>12679</v>
      </c>
    </row>
    <row r="840" spans="3:10" x14ac:dyDescent="0.2">
      <c r="C840" s="1"/>
      <c r="E840" s="16"/>
      <c r="F840" s="3"/>
      <c r="G840" s="3"/>
      <c r="H840" s="3"/>
      <c r="I840" s="3"/>
      <c r="J840" s="3"/>
    </row>
    <row r="841" spans="3:10" x14ac:dyDescent="0.2">
      <c r="C841" s="1" t="s">
        <v>287</v>
      </c>
      <c r="E841" s="16">
        <v>215</v>
      </c>
      <c r="F841" s="3">
        <v>2835</v>
      </c>
      <c r="G841" s="3">
        <v>6149</v>
      </c>
      <c r="H841" s="3">
        <v>14826</v>
      </c>
      <c r="I841" s="3">
        <v>27198</v>
      </c>
      <c r="J841" s="3">
        <v>11482</v>
      </c>
    </row>
    <row r="842" spans="3:10" x14ac:dyDescent="0.2">
      <c r="C842" s="1" t="s">
        <v>288</v>
      </c>
      <c r="E842" s="16">
        <v>229</v>
      </c>
      <c r="F842" s="3">
        <v>3106</v>
      </c>
      <c r="G842" s="3">
        <v>6291</v>
      </c>
      <c r="H842" s="3">
        <v>14240</v>
      </c>
      <c r="I842" s="3">
        <v>27877</v>
      </c>
      <c r="J842" s="3">
        <v>13316</v>
      </c>
    </row>
    <row r="843" spans="3:10" x14ac:dyDescent="0.2">
      <c r="C843" s="1" t="s">
        <v>289</v>
      </c>
      <c r="E843" s="16">
        <v>223</v>
      </c>
      <c r="F843" s="3">
        <v>3051</v>
      </c>
      <c r="G843" s="3">
        <v>6629</v>
      </c>
      <c r="H843" s="3">
        <v>14456</v>
      </c>
      <c r="I843" s="3">
        <v>30020</v>
      </c>
      <c r="J843" s="3">
        <v>14799</v>
      </c>
    </row>
    <row r="844" spans="3:10" x14ac:dyDescent="0.2">
      <c r="C844" s="1" t="s">
        <v>290</v>
      </c>
      <c r="E844" s="16">
        <v>236</v>
      </c>
      <c r="F844" s="3">
        <v>3020</v>
      </c>
      <c r="G844" s="3">
        <v>6740</v>
      </c>
      <c r="H844" s="3">
        <v>15116</v>
      </c>
      <c r="I844" s="3">
        <v>32008</v>
      </c>
      <c r="J844" s="3">
        <v>15905</v>
      </c>
    </row>
    <row r="845" spans="3:10" x14ac:dyDescent="0.2">
      <c r="C845" s="1" t="s">
        <v>291</v>
      </c>
      <c r="E845" s="16">
        <v>212</v>
      </c>
      <c r="F845" s="3">
        <v>2894</v>
      </c>
      <c r="G845" s="3">
        <v>6973</v>
      </c>
      <c r="H845" s="3">
        <v>15296</v>
      </c>
      <c r="I845" s="3">
        <v>31484</v>
      </c>
      <c r="J845" s="3">
        <v>15476</v>
      </c>
    </row>
    <row r="846" spans="3:10" x14ac:dyDescent="0.2">
      <c r="C846" s="1" t="s">
        <v>292</v>
      </c>
      <c r="E846" s="16">
        <v>201</v>
      </c>
      <c r="F846" s="3">
        <v>2692</v>
      </c>
      <c r="G846" s="3">
        <v>7044</v>
      </c>
      <c r="H846" s="3">
        <v>15948</v>
      </c>
      <c r="I846" s="3">
        <v>31766</v>
      </c>
      <c r="J846" s="3">
        <v>15032</v>
      </c>
    </row>
    <row r="847" spans="3:10" x14ac:dyDescent="0.2">
      <c r="C847" s="1"/>
      <c r="E847" s="16"/>
      <c r="F847" s="3"/>
      <c r="G847" s="3"/>
      <c r="H847" s="3"/>
      <c r="I847" s="3"/>
      <c r="J847" s="3"/>
    </row>
    <row r="848" spans="3:10" x14ac:dyDescent="0.2">
      <c r="C848" s="1" t="s">
        <v>293</v>
      </c>
      <c r="E848" s="16">
        <v>208</v>
      </c>
      <c r="F848" s="3">
        <v>2705</v>
      </c>
      <c r="G848" s="3">
        <v>7253</v>
      </c>
      <c r="H848" s="3">
        <v>15023</v>
      </c>
      <c r="I848" s="3">
        <v>30876</v>
      </c>
      <c r="J848" s="3">
        <v>14543</v>
      </c>
    </row>
    <row r="849" spans="1:10" x14ac:dyDescent="0.2">
      <c r="C849" s="1" t="s">
        <v>294</v>
      </c>
      <c r="E849" s="16">
        <v>195</v>
      </c>
      <c r="F849" s="3">
        <v>2565</v>
      </c>
      <c r="G849" s="3">
        <v>7019</v>
      </c>
      <c r="H849" s="3">
        <v>14957</v>
      </c>
      <c r="I849" s="3">
        <v>30429</v>
      </c>
      <c r="J849" s="3">
        <v>14252</v>
      </c>
    </row>
    <row r="850" spans="1:10" x14ac:dyDescent="0.2">
      <c r="C850" s="1" t="s">
        <v>295</v>
      </c>
      <c r="E850" s="16">
        <v>193</v>
      </c>
      <c r="F850" s="3">
        <v>2346</v>
      </c>
      <c r="G850" s="3">
        <v>6650</v>
      </c>
      <c r="H850" s="3">
        <v>12705</v>
      </c>
      <c r="I850" s="3">
        <v>27355</v>
      </c>
      <c r="J850" s="3">
        <v>13597</v>
      </c>
    </row>
    <row r="851" spans="1:10" x14ac:dyDescent="0.2">
      <c r="C851" s="1" t="s">
        <v>296</v>
      </c>
      <c r="E851" s="16">
        <v>182</v>
      </c>
      <c r="F851" s="3">
        <v>2549</v>
      </c>
      <c r="G851" s="3">
        <v>7899</v>
      </c>
      <c r="H851" s="3">
        <v>16831</v>
      </c>
      <c r="I851" s="3">
        <v>37005</v>
      </c>
      <c r="J851" s="3">
        <v>18675</v>
      </c>
    </row>
    <row r="852" spans="1:10" x14ac:dyDescent="0.2">
      <c r="C852" s="1" t="s">
        <v>297</v>
      </c>
      <c r="E852" s="16">
        <v>177</v>
      </c>
      <c r="F852" s="17" t="s">
        <v>344</v>
      </c>
      <c r="G852" s="17" t="s">
        <v>344</v>
      </c>
      <c r="H852" s="17" t="s">
        <v>344</v>
      </c>
      <c r="I852" s="17" t="s">
        <v>344</v>
      </c>
      <c r="J852" s="17" t="s">
        <v>344</v>
      </c>
    </row>
    <row r="853" spans="1:10" x14ac:dyDescent="0.2">
      <c r="C853" s="1" t="s">
        <v>298</v>
      </c>
      <c r="E853" s="16">
        <v>189</v>
      </c>
      <c r="F853" s="17">
        <v>2322</v>
      </c>
      <c r="G853" s="17">
        <v>6997</v>
      </c>
      <c r="H853" s="17">
        <v>14115</v>
      </c>
      <c r="I853" s="17">
        <v>28784</v>
      </c>
      <c r="J853" s="17">
        <v>13197</v>
      </c>
    </row>
    <row r="854" spans="1:10" x14ac:dyDescent="0.2">
      <c r="C854" s="1"/>
      <c r="E854" s="16"/>
      <c r="F854" s="17"/>
      <c r="G854" s="17"/>
      <c r="H854" s="17"/>
      <c r="I854" s="17"/>
      <c r="J854" s="17"/>
    </row>
    <row r="855" spans="1:10" x14ac:dyDescent="0.2">
      <c r="C855" s="1" t="s">
        <v>327</v>
      </c>
      <c r="D855" s="15"/>
      <c r="E855" s="16">
        <v>156</v>
      </c>
      <c r="F855" s="3">
        <v>2164</v>
      </c>
      <c r="G855" s="3">
        <v>6587</v>
      </c>
      <c r="H855" s="3">
        <v>13261</v>
      </c>
      <c r="I855" s="3">
        <v>27027</v>
      </c>
      <c r="J855" s="3">
        <v>12093</v>
      </c>
    </row>
    <row r="856" spans="1:10" x14ac:dyDescent="0.2">
      <c r="C856" s="1" t="s">
        <v>328</v>
      </c>
      <c r="D856" s="80"/>
      <c r="E856" s="16">
        <v>161</v>
      </c>
      <c r="F856" s="3">
        <v>1994</v>
      </c>
      <c r="G856" s="3">
        <v>5752</v>
      </c>
      <c r="H856" s="3">
        <v>11608</v>
      </c>
      <c r="I856" s="3">
        <v>22973</v>
      </c>
      <c r="J856" s="3">
        <v>10171</v>
      </c>
    </row>
    <row r="857" spans="1:10" x14ac:dyDescent="0.2">
      <c r="C857" s="4" t="s">
        <v>329</v>
      </c>
      <c r="D857" s="15"/>
      <c r="E857" s="88">
        <v>142</v>
      </c>
      <c r="F857" s="39">
        <v>1802</v>
      </c>
      <c r="G857" s="39">
        <v>5128</v>
      </c>
      <c r="H857" s="39">
        <v>10474</v>
      </c>
      <c r="I857" s="39">
        <v>21066</v>
      </c>
      <c r="J857" s="39">
        <v>9320</v>
      </c>
    </row>
    <row r="858" spans="1:10" ht="18" thickBot="1" x14ac:dyDescent="0.25">
      <c r="B858" s="5"/>
      <c r="C858" s="5"/>
      <c r="D858" s="5"/>
      <c r="E858" s="41"/>
      <c r="F858" s="5"/>
      <c r="G858" s="5"/>
      <c r="H858" s="5"/>
      <c r="I858" s="5"/>
      <c r="J858" s="5"/>
    </row>
    <row r="859" spans="1:10" x14ac:dyDescent="0.2">
      <c r="D859" s="1" t="s">
        <v>273</v>
      </c>
      <c r="E859" s="1"/>
      <c r="H859" s="1" t="s">
        <v>330</v>
      </c>
    </row>
    <row r="860" spans="1:10" x14ac:dyDescent="0.2">
      <c r="H860" s="1"/>
    </row>
    <row r="862" spans="1:10" x14ac:dyDescent="0.2">
      <c r="A862" s="1"/>
    </row>
  </sheetData>
  <mergeCells count="1">
    <mergeCell ref="C20:D20"/>
  </mergeCells>
  <phoneticPr fontId="2"/>
  <pageMargins left="0.4" right="0.56999999999999995" top="0.56999999999999995" bottom="0.53" header="0.51200000000000001" footer="0.51200000000000001"/>
  <pageSetup paperSize="12" scale="75" orientation="portrait" r:id="rId1"/>
  <headerFooter alignWithMargins="0"/>
  <rowBreaks count="11" manualBreakCount="11">
    <brk id="72" max="9" man="1"/>
    <brk id="143" max="9" man="1"/>
    <brk id="215" max="9" man="1"/>
    <brk id="287" max="9" man="1"/>
    <brk id="359" max="9" man="1"/>
    <brk id="431" max="9" man="1"/>
    <brk id="502" max="9" man="1"/>
    <brk id="574" max="9" man="1"/>
    <brk id="646" max="9" man="1"/>
    <brk id="718" max="9" man="1"/>
    <brk id="79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4"/>
  <sheetViews>
    <sheetView showGridLines="0" tabSelected="1" topLeftCell="F1" zoomScale="75" workbookViewId="0">
      <selection activeCell="J28" sqref="J28"/>
    </sheetView>
  </sheetViews>
  <sheetFormatPr defaultColWidth="15.875" defaultRowHeight="17.25" x14ac:dyDescent="0.2"/>
  <cols>
    <col min="1" max="1" width="13.375" style="2" customWidth="1"/>
    <col min="2" max="2" width="4.625" style="2" customWidth="1"/>
    <col min="3" max="9" width="15.875" style="2"/>
    <col min="10" max="10" width="16.25" style="2" bestFit="1" customWidth="1"/>
    <col min="11" max="256" width="15.875" style="2"/>
    <col min="257" max="257" width="13.375" style="2" customWidth="1"/>
    <col min="258" max="258" width="4.625" style="2" customWidth="1"/>
    <col min="259" max="265" width="15.875" style="2"/>
    <col min="266" max="266" width="16.25" style="2" bestFit="1" customWidth="1"/>
    <col min="267" max="512" width="15.875" style="2"/>
    <col min="513" max="513" width="13.375" style="2" customWidth="1"/>
    <col min="514" max="514" width="4.625" style="2" customWidth="1"/>
    <col min="515" max="521" width="15.875" style="2"/>
    <col min="522" max="522" width="16.25" style="2" bestFit="1" customWidth="1"/>
    <col min="523" max="768" width="15.875" style="2"/>
    <col min="769" max="769" width="13.375" style="2" customWidth="1"/>
    <col min="770" max="770" width="4.625" style="2" customWidth="1"/>
    <col min="771" max="777" width="15.875" style="2"/>
    <col min="778" max="778" width="16.25" style="2" bestFit="1" customWidth="1"/>
    <col min="779" max="1024" width="15.875" style="2"/>
    <col min="1025" max="1025" width="13.375" style="2" customWidth="1"/>
    <col min="1026" max="1026" width="4.625" style="2" customWidth="1"/>
    <col min="1027" max="1033" width="15.875" style="2"/>
    <col min="1034" max="1034" width="16.25" style="2" bestFit="1" customWidth="1"/>
    <col min="1035" max="1280" width="15.875" style="2"/>
    <col min="1281" max="1281" width="13.375" style="2" customWidth="1"/>
    <col min="1282" max="1282" width="4.625" style="2" customWidth="1"/>
    <col min="1283" max="1289" width="15.875" style="2"/>
    <col min="1290" max="1290" width="16.25" style="2" bestFit="1" customWidth="1"/>
    <col min="1291" max="1536" width="15.875" style="2"/>
    <col min="1537" max="1537" width="13.375" style="2" customWidth="1"/>
    <col min="1538" max="1538" width="4.625" style="2" customWidth="1"/>
    <col min="1539" max="1545" width="15.875" style="2"/>
    <col min="1546" max="1546" width="16.25" style="2" bestFit="1" customWidth="1"/>
    <col min="1547" max="1792" width="15.875" style="2"/>
    <col min="1793" max="1793" width="13.375" style="2" customWidth="1"/>
    <col min="1794" max="1794" width="4.625" style="2" customWidth="1"/>
    <col min="1795" max="1801" width="15.875" style="2"/>
    <col min="1802" max="1802" width="16.25" style="2" bestFit="1" customWidth="1"/>
    <col min="1803" max="2048" width="15.875" style="2"/>
    <col min="2049" max="2049" width="13.375" style="2" customWidth="1"/>
    <col min="2050" max="2050" width="4.625" style="2" customWidth="1"/>
    <col min="2051" max="2057" width="15.875" style="2"/>
    <col min="2058" max="2058" width="16.25" style="2" bestFit="1" customWidth="1"/>
    <col min="2059" max="2304" width="15.875" style="2"/>
    <col min="2305" max="2305" width="13.375" style="2" customWidth="1"/>
    <col min="2306" max="2306" width="4.625" style="2" customWidth="1"/>
    <col min="2307" max="2313" width="15.875" style="2"/>
    <col min="2314" max="2314" width="16.25" style="2" bestFit="1" customWidth="1"/>
    <col min="2315" max="2560" width="15.875" style="2"/>
    <col min="2561" max="2561" width="13.375" style="2" customWidth="1"/>
    <col min="2562" max="2562" width="4.625" style="2" customWidth="1"/>
    <col min="2563" max="2569" width="15.875" style="2"/>
    <col min="2570" max="2570" width="16.25" style="2" bestFit="1" customWidth="1"/>
    <col min="2571" max="2816" width="15.875" style="2"/>
    <col min="2817" max="2817" width="13.375" style="2" customWidth="1"/>
    <col min="2818" max="2818" width="4.625" style="2" customWidth="1"/>
    <col min="2819" max="2825" width="15.875" style="2"/>
    <col min="2826" max="2826" width="16.25" style="2" bestFit="1" customWidth="1"/>
    <col min="2827" max="3072" width="15.875" style="2"/>
    <col min="3073" max="3073" width="13.375" style="2" customWidth="1"/>
    <col min="3074" max="3074" width="4.625" style="2" customWidth="1"/>
    <col min="3075" max="3081" width="15.875" style="2"/>
    <col min="3082" max="3082" width="16.25" style="2" bestFit="1" customWidth="1"/>
    <col min="3083" max="3328" width="15.875" style="2"/>
    <col min="3329" max="3329" width="13.375" style="2" customWidth="1"/>
    <col min="3330" max="3330" width="4.625" style="2" customWidth="1"/>
    <col min="3331" max="3337" width="15.875" style="2"/>
    <col min="3338" max="3338" width="16.25" style="2" bestFit="1" customWidth="1"/>
    <col min="3339" max="3584" width="15.875" style="2"/>
    <col min="3585" max="3585" width="13.375" style="2" customWidth="1"/>
    <col min="3586" max="3586" width="4.625" style="2" customWidth="1"/>
    <col min="3587" max="3593" width="15.875" style="2"/>
    <col min="3594" max="3594" width="16.25" style="2" bestFit="1" customWidth="1"/>
    <col min="3595" max="3840" width="15.875" style="2"/>
    <col min="3841" max="3841" width="13.375" style="2" customWidth="1"/>
    <col min="3842" max="3842" width="4.625" style="2" customWidth="1"/>
    <col min="3843" max="3849" width="15.875" style="2"/>
    <col min="3850" max="3850" width="16.25" style="2" bestFit="1" customWidth="1"/>
    <col min="3851" max="4096" width="15.875" style="2"/>
    <col min="4097" max="4097" width="13.375" style="2" customWidth="1"/>
    <col min="4098" max="4098" width="4.625" style="2" customWidth="1"/>
    <col min="4099" max="4105" width="15.875" style="2"/>
    <col min="4106" max="4106" width="16.25" style="2" bestFit="1" customWidth="1"/>
    <col min="4107" max="4352" width="15.875" style="2"/>
    <col min="4353" max="4353" width="13.375" style="2" customWidth="1"/>
    <col min="4354" max="4354" width="4.625" style="2" customWidth="1"/>
    <col min="4355" max="4361" width="15.875" style="2"/>
    <col min="4362" max="4362" width="16.25" style="2" bestFit="1" customWidth="1"/>
    <col min="4363" max="4608" width="15.875" style="2"/>
    <col min="4609" max="4609" width="13.375" style="2" customWidth="1"/>
    <col min="4610" max="4610" width="4.625" style="2" customWidth="1"/>
    <col min="4611" max="4617" width="15.875" style="2"/>
    <col min="4618" max="4618" width="16.25" style="2" bestFit="1" customWidth="1"/>
    <col min="4619" max="4864" width="15.875" style="2"/>
    <col min="4865" max="4865" width="13.375" style="2" customWidth="1"/>
    <col min="4866" max="4866" width="4.625" style="2" customWidth="1"/>
    <col min="4867" max="4873" width="15.875" style="2"/>
    <col min="4874" max="4874" width="16.25" style="2" bestFit="1" customWidth="1"/>
    <col min="4875" max="5120" width="15.875" style="2"/>
    <col min="5121" max="5121" width="13.375" style="2" customWidth="1"/>
    <col min="5122" max="5122" width="4.625" style="2" customWidth="1"/>
    <col min="5123" max="5129" width="15.875" style="2"/>
    <col min="5130" max="5130" width="16.25" style="2" bestFit="1" customWidth="1"/>
    <col min="5131" max="5376" width="15.875" style="2"/>
    <col min="5377" max="5377" width="13.375" style="2" customWidth="1"/>
    <col min="5378" max="5378" width="4.625" style="2" customWidth="1"/>
    <col min="5379" max="5385" width="15.875" style="2"/>
    <col min="5386" max="5386" width="16.25" style="2" bestFit="1" customWidth="1"/>
    <col min="5387" max="5632" width="15.875" style="2"/>
    <col min="5633" max="5633" width="13.375" style="2" customWidth="1"/>
    <col min="5634" max="5634" width="4.625" style="2" customWidth="1"/>
    <col min="5635" max="5641" width="15.875" style="2"/>
    <col min="5642" max="5642" width="16.25" style="2" bestFit="1" customWidth="1"/>
    <col min="5643" max="5888" width="15.875" style="2"/>
    <col min="5889" max="5889" width="13.375" style="2" customWidth="1"/>
    <col min="5890" max="5890" width="4.625" style="2" customWidth="1"/>
    <col min="5891" max="5897" width="15.875" style="2"/>
    <col min="5898" max="5898" width="16.25" style="2" bestFit="1" customWidth="1"/>
    <col min="5899" max="6144" width="15.875" style="2"/>
    <col min="6145" max="6145" width="13.375" style="2" customWidth="1"/>
    <col min="6146" max="6146" width="4.625" style="2" customWidth="1"/>
    <col min="6147" max="6153" width="15.875" style="2"/>
    <col min="6154" max="6154" width="16.25" style="2" bestFit="1" customWidth="1"/>
    <col min="6155" max="6400" width="15.875" style="2"/>
    <col min="6401" max="6401" width="13.375" style="2" customWidth="1"/>
    <col min="6402" max="6402" width="4.625" style="2" customWidth="1"/>
    <col min="6403" max="6409" width="15.875" style="2"/>
    <col min="6410" max="6410" width="16.25" style="2" bestFit="1" customWidth="1"/>
    <col min="6411" max="6656" width="15.875" style="2"/>
    <col min="6657" max="6657" width="13.375" style="2" customWidth="1"/>
    <col min="6658" max="6658" width="4.625" style="2" customWidth="1"/>
    <col min="6659" max="6665" width="15.875" style="2"/>
    <col min="6666" max="6666" width="16.25" style="2" bestFit="1" customWidth="1"/>
    <col min="6667" max="6912" width="15.875" style="2"/>
    <col min="6913" max="6913" width="13.375" style="2" customWidth="1"/>
    <col min="6914" max="6914" width="4.625" style="2" customWidth="1"/>
    <col min="6915" max="6921" width="15.875" style="2"/>
    <col min="6922" max="6922" width="16.25" style="2" bestFit="1" customWidth="1"/>
    <col min="6923" max="7168" width="15.875" style="2"/>
    <col min="7169" max="7169" width="13.375" style="2" customWidth="1"/>
    <col min="7170" max="7170" width="4.625" style="2" customWidth="1"/>
    <col min="7171" max="7177" width="15.875" style="2"/>
    <col min="7178" max="7178" width="16.25" style="2" bestFit="1" customWidth="1"/>
    <col min="7179" max="7424" width="15.875" style="2"/>
    <col min="7425" max="7425" width="13.375" style="2" customWidth="1"/>
    <col min="7426" max="7426" width="4.625" style="2" customWidth="1"/>
    <col min="7427" max="7433" width="15.875" style="2"/>
    <col min="7434" max="7434" width="16.25" style="2" bestFit="1" customWidth="1"/>
    <col min="7435" max="7680" width="15.875" style="2"/>
    <col min="7681" max="7681" width="13.375" style="2" customWidth="1"/>
    <col min="7682" max="7682" width="4.625" style="2" customWidth="1"/>
    <col min="7683" max="7689" width="15.875" style="2"/>
    <col min="7690" max="7690" width="16.25" style="2" bestFit="1" customWidth="1"/>
    <col min="7691" max="7936" width="15.875" style="2"/>
    <col min="7937" max="7937" width="13.375" style="2" customWidth="1"/>
    <col min="7938" max="7938" width="4.625" style="2" customWidth="1"/>
    <col min="7939" max="7945" width="15.875" style="2"/>
    <col min="7946" max="7946" width="16.25" style="2" bestFit="1" customWidth="1"/>
    <col min="7947" max="8192" width="15.875" style="2"/>
    <col min="8193" max="8193" width="13.375" style="2" customWidth="1"/>
    <col min="8194" max="8194" width="4.625" style="2" customWidth="1"/>
    <col min="8195" max="8201" width="15.875" style="2"/>
    <col min="8202" max="8202" width="16.25" style="2" bestFit="1" customWidth="1"/>
    <col min="8203" max="8448" width="15.875" style="2"/>
    <col min="8449" max="8449" width="13.375" style="2" customWidth="1"/>
    <col min="8450" max="8450" width="4.625" style="2" customWidth="1"/>
    <col min="8451" max="8457" width="15.875" style="2"/>
    <col min="8458" max="8458" width="16.25" style="2" bestFit="1" customWidth="1"/>
    <col min="8459" max="8704" width="15.875" style="2"/>
    <col min="8705" max="8705" width="13.375" style="2" customWidth="1"/>
    <col min="8706" max="8706" width="4.625" style="2" customWidth="1"/>
    <col min="8707" max="8713" width="15.875" style="2"/>
    <col min="8714" max="8714" width="16.25" style="2" bestFit="1" customWidth="1"/>
    <col min="8715" max="8960" width="15.875" style="2"/>
    <col min="8961" max="8961" width="13.375" style="2" customWidth="1"/>
    <col min="8962" max="8962" width="4.625" style="2" customWidth="1"/>
    <col min="8963" max="8969" width="15.875" style="2"/>
    <col min="8970" max="8970" width="16.25" style="2" bestFit="1" customWidth="1"/>
    <col min="8971" max="9216" width="15.875" style="2"/>
    <col min="9217" max="9217" width="13.375" style="2" customWidth="1"/>
    <col min="9218" max="9218" width="4.625" style="2" customWidth="1"/>
    <col min="9219" max="9225" width="15.875" style="2"/>
    <col min="9226" max="9226" width="16.25" style="2" bestFit="1" customWidth="1"/>
    <col min="9227" max="9472" width="15.875" style="2"/>
    <col min="9473" max="9473" width="13.375" style="2" customWidth="1"/>
    <col min="9474" max="9474" width="4.625" style="2" customWidth="1"/>
    <col min="9475" max="9481" width="15.875" style="2"/>
    <col min="9482" max="9482" width="16.25" style="2" bestFit="1" customWidth="1"/>
    <col min="9483" max="9728" width="15.875" style="2"/>
    <col min="9729" max="9729" width="13.375" style="2" customWidth="1"/>
    <col min="9730" max="9730" width="4.625" style="2" customWidth="1"/>
    <col min="9731" max="9737" width="15.875" style="2"/>
    <col min="9738" max="9738" width="16.25" style="2" bestFit="1" customWidth="1"/>
    <col min="9739" max="9984" width="15.875" style="2"/>
    <col min="9985" max="9985" width="13.375" style="2" customWidth="1"/>
    <col min="9986" max="9986" width="4.625" style="2" customWidth="1"/>
    <col min="9987" max="9993" width="15.875" style="2"/>
    <col min="9994" max="9994" width="16.25" style="2" bestFit="1" customWidth="1"/>
    <col min="9995" max="10240" width="15.875" style="2"/>
    <col min="10241" max="10241" width="13.375" style="2" customWidth="1"/>
    <col min="10242" max="10242" width="4.625" style="2" customWidth="1"/>
    <col min="10243" max="10249" width="15.875" style="2"/>
    <col min="10250" max="10250" width="16.25" style="2" bestFit="1" customWidth="1"/>
    <col min="10251" max="10496" width="15.875" style="2"/>
    <col min="10497" max="10497" width="13.375" style="2" customWidth="1"/>
    <col min="10498" max="10498" width="4.625" style="2" customWidth="1"/>
    <col min="10499" max="10505" width="15.875" style="2"/>
    <col min="10506" max="10506" width="16.25" style="2" bestFit="1" customWidth="1"/>
    <col min="10507" max="10752" width="15.875" style="2"/>
    <col min="10753" max="10753" width="13.375" style="2" customWidth="1"/>
    <col min="10754" max="10754" width="4.625" style="2" customWidth="1"/>
    <col min="10755" max="10761" width="15.875" style="2"/>
    <col min="10762" max="10762" width="16.25" style="2" bestFit="1" customWidth="1"/>
    <col min="10763" max="11008" width="15.875" style="2"/>
    <col min="11009" max="11009" width="13.375" style="2" customWidth="1"/>
    <col min="11010" max="11010" width="4.625" style="2" customWidth="1"/>
    <col min="11011" max="11017" width="15.875" style="2"/>
    <col min="11018" max="11018" width="16.25" style="2" bestFit="1" customWidth="1"/>
    <col min="11019" max="11264" width="15.875" style="2"/>
    <col min="11265" max="11265" width="13.375" style="2" customWidth="1"/>
    <col min="11266" max="11266" width="4.625" style="2" customWidth="1"/>
    <col min="11267" max="11273" width="15.875" style="2"/>
    <col min="11274" max="11274" width="16.25" style="2" bestFit="1" customWidth="1"/>
    <col min="11275" max="11520" width="15.875" style="2"/>
    <col min="11521" max="11521" width="13.375" style="2" customWidth="1"/>
    <col min="11522" max="11522" width="4.625" style="2" customWidth="1"/>
    <col min="11523" max="11529" width="15.875" style="2"/>
    <col min="11530" max="11530" width="16.25" style="2" bestFit="1" customWidth="1"/>
    <col min="11531" max="11776" width="15.875" style="2"/>
    <col min="11777" max="11777" width="13.375" style="2" customWidth="1"/>
    <col min="11778" max="11778" width="4.625" style="2" customWidth="1"/>
    <col min="11779" max="11785" width="15.875" style="2"/>
    <col min="11786" max="11786" width="16.25" style="2" bestFit="1" customWidth="1"/>
    <col min="11787" max="12032" width="15.875" style="2"/>
    <col min="12033" max="12033" width="13.375" style="2" customWidth="1"/>
    <col min="12034" max="12034" width="4.625" style="2" customWidth="1"/>
    <col min="12035" max="12041" width="15.875" style="2"/>
    <col min="12042" max="12042" width="16.25" style="2" bestFit="1" customWidth="1"/>
    <col min="12043" max="12288" width="15.875" style="2"/>
    <col min="12289" max="12289" width="13.375" style="2" customWidth="1"/>
    <col min="12290" max="12290" width="4.625" style="2" customWidth="1"/>
    <col min="12291" max="12297" width="15.875" style="2"/>
    <col min="12298" max="12298" width="16.25" style="2" bestFit="1" customWidth="1"/>
    <col min="12299" max="12544" width="15.875" style="2"/>
    <col min="12545" max="12545" width="13.375" style="2" customWidth="1"/>
    <col min="12546" max="12546" width="4.625" style="2" customWidth="1"/>
    <col min="12547" max="12553" width="15.875" style="2"/>
    <col min="12554" max="12554" width="16.25" style="2" bestFit="1" customWidth="1"/>
    <col min="12555" max="12800" width="15.875" style="2"/>
    <col min="12801" max="12801" width="13.375" style="2" customWidth="1"/>
    <col min="12802" max="12802" width="4.625" style="2" customWidth="1"/>
    <col min="12803" max="12809" width="15.875" style="2"/>
    <col min="12810" max="12810" width="16.25" style="2" bestFit="1" customWidth="1"/>
    <col min="12811" max="13056" width="15.875" style="2"/>
    <col min="13057" max="13057" width="13.375" style="2" customWidth="1"/>
    <col min="13058" max="13058" width="4.625" style="2" customWidth="1"/>
    <col min="13059" max="13065" width="15.875" style="2"/>
    <col min="13066" max="13066" width="16.25" style="2" bestFit="1" customWidth="1"/>
    <col min="13067" max="13312" width="15.875" style="2"/>
    <col min="13313" max="13313" width="13.375" style="2" customWidth="1"/>
    <col min="13314" max="13314" width="4.625" style="2" customWidth="1"/>
    <col min="13315" max="13321" width="15.875" style="2"/>
    <col min="13322" max="13322" width="16.25" style="2" bestFit="1" customWidth="1"/>
    <col min="13323" max="13568" width="15.875" style="2"/>
    <col min="13569" max="13569" width="13.375" style="2" customWidth="1"/>
    <col min="13570" max="13570" width="4.625" style="2" customWidth="1"/>
    <col min="13571" max="13577" width="15.875" style="2"/>
    <col min="13578" max="13578" width="16.25" style="2" bestFit="1" customWidth="1"/>
    <col min="13579" max="13824" width="15.875" style="2"/>
    <col min="13825" max="13825" width="13.375" style="2" customWidth="1"/>
    <col min="13826" max="13826" width="4.625" style="2" customWidth="1"/>
    <col min="13827" max="13833" width="15.875" style="2"/>
    <col min="13834" max="13834" width="16.25" style="2" bestFit="1" customWidth="1"/>
    <col min="13835" max="14080" width="15.875" style="2"/>
    <col min="14081" max="14081" width="13.375" style="2" customWidth="1"/>
    <col min="14082" max="14082" width="4.625" style="2" customWidth="1"/>
    <col min="14083" max="14089" width="15.875" style="2"/>
    <col min="14090" max="14090" width="16.25" style="2" bestFit="1" customWidth="1"/>
    <col min="14091" max="14336" width="15.875" style="2"/>
    <col min="14337" max="14337" width="13.375" style="2" customWidth="1"/>
    <col min="14338" max="14338" width="4.625" style="2" customWidth="1"/>
    <col min="14339" max="14345" width="15.875" style="2"/>
    <col min="14346" max="14346" width="16.25" style="2" bestFit="1" customWidth="1"/>
    <col min="14347" max="14592" width="15.875" style="2"/>
    <col min="14593" max="14593" width="13.375" style="2" customWidth="1"/>
    <col min="14594" max="14594" width="4.625" style="2" customWidth="1"/>
    <col min="14595" max="14601" width="15.875" style="2"/>
    <col min="14602" max="14602" width="16.25" style="2" bestFit="1" customWidth="1"/>
    <col min="14603" max="14848" width="15.875" style="2"/>
    <col min="14849" max="14849" width="13.375" style="2" customWidth="1"/>
    <col min="14850" max="14850" width="4.625" style="2" customWidth="1"/>
    <col min="14851" max="14857" width="15.875" style="2"/>
    <col min="14858" max="14858" width="16.25" style="2" bestFit="1" customWidth="1"/>
    <col min="14859" max="15104" width="15.875" style="2"/>
    <col min="15105" max="15105" width="13.375" style="2" customWidth="1"/>
    <col min="15106" max="15106" width="4.625" style="2" customWidth="1"/>
    <col min="15107" max="15113" width="15.875" style="2"/>
    <col min="15114" max="15114" width="16.25" style="2" bestFit="1" customWidth="1"/>
    <col min="15115" max="15360" width="15.875" style="2"/>
    <col min="15361" max="15361" width="13.375" style="2" customWidth="1"/>
    <col min="15362" max="15362" width="4.625" style="2" customWidth="1"/>
    <col min="15363" max="15369" width="15.875" style="2"/>
    <col min="15370" max="15370" width="16.25" style="2" bestFit="1" customWidth="1"/>
    <col min="15371" max="15616" width="15.875" style="2"/>
    <col min="15617" max="15617" width="13.375" style="2" customWidth="1"/>
    <col min="15618" max="15618" width="4.625" style="2" customWidth="1"/>
    <col min="15619" max="15625" width="15.875" style="2"/>
    <col min="15626" max="15626" width="16.25" style="2" bestFit="1" customWidth="1"/>
    <col min="15627" max="15872" width="15.875" style="2"/>
    <col min="15873" max="15873" width="13.375" style="2" customWidth="1"/>
    <col min="15874" max="15874" width="4.625" style="2" customWidth="1"/>
    <col min="15875" max="15881" width="15.875" style="2"/>
    <col min="15882" max="15882" width="16.25" style="2" bestFit="1" customWidth="1"/>
    <col min="15883" max="16128" width="15.875" style="2"/>
    <col min="16129" max="16129" width="13.375" style="2" customWidth="1"/>
    <col min="16130" max="16130" width="4.625" style="2" customWidth="1"/>
    <col min="16131" max="16137" width="15.875" style="2"/>
    <col min="16138" max="16138" width="16.25" style="2" bestFit="1" customWidth="1"/>
    <col min="16139" max="16384" width="15.875" style="2"/>
  </cols>
  <sheetData>
    <row r="1" spans="1:11" x14ac:dyDescent="0.2">
      <c r="A1" s="1"/>
    </row>
    <row r="3" spans="1:11" x14ac:dyDescent="0.2">
      <c r="D3" s="3"/>
    </row>
    <row r="6" spans="1:11" x14ac:dyDescent="0.2">
      <c r="D6" s="4" t="s">
        <v>0</v>
      </c>
      <c r="G6" s="1" t="s">
        <v>1</v>
      </c>
    </row>
    <row r="7" spans="1:11" ht="18" thickBot="1" x14ac:dyDescent="0.25">
      <c r="B7" s="5"/>
      <c r="C7" s="5"/>
      <c r="D7" s="5"/>
      <c r="E7" s="6" t="s">
        <v>2</v>
      </c>
      <c r="F7" s="5"/>
      <c r="G7" s="5"/>
      <c r="H7" s="5"/>
      <c r="I7" s="5"/>
      <c r="J7" s="5"/>
    </row>
    <row r="8" spans="1:11" x14ac:dyDescent="0.2">
      <c r="D8" s="7"/>
      <c r="E8" s="7"/>
      <c r="F8" s="7"/>
      <c r="G8" s="7"/>
      <c r="H8" s="7"/>
      <c r="I8" s="7"/>
      <c r="J8" s="8" t="s">
        <v>3</v>
      </c>
    </row>
    <row r="9" spans="1:11" x14ac:dyDescent="0.2"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</row>
    <row r="10" spans="1:11" x14ac:dyDescent="0.2">
      <c r="B10" s="10"/>
      <c r="C10" s="10"/>
      <c r="D10" s="11"/>
      <c r="E10" s="11"/>
      <c r="F10" s="11"/>
      <c r="G10" s="12" t="s">
        <v>11</v>
      </c>
      <c r="H10" s="12" t="s">
        <v>12</v>
      </c>
      <c r="I10" s="11"/>
      <c r="J10" s="12" t="s">
        <v>13</v>
      </c>
    </row>
    <row r="11" spans="1:11" x14ac:dyDescent="0.2">
      <c r="D11" s="7"/>
      <c r="E11" s="13" t="s">
        <v>14</v>
      </c>
      <c r="F11" s="13" t="s">
        <v>15</v>
      </c>
      <c r="G11" s="13" t="s">
        <v>15</v>
      </c>
      <c r="H11" s="13" t="s">
        <v>15</v>
      </c>
      <c r="I11" s="13" t="s">
        <v>15</v>
      </c>
      <c r="J11" s="13" t="s">
        <v>15</v>
      </c>
    </row>
    <row r="12" spans="1:11" x14ac:dyDescent="0.2">
      <c r="B12" s="4" t="s">
        <v>16</v>
      </c>
      <c r="D12" s="14">
        <v>2847</v>
      </c>
      <c r="E12" s="15">
        <v>57418</v>
      </c>
      <c r="F12" s="15">
        <v>237551.64</v>
      </c>
      <c r="G12" s="15">
        <v>1070162.1599999999</v>
      </c>
      <c r="H12" s="15">
        <v>2243396.4</v>
      </c>
      <c r="I12" s="15">
        <v>939940.12</v>
      </c>
      <c r="J12" s="15">
        <v>725172.48</v>
      </c>
      <c r="K12" s="15"/>
    </row>
    <row r="13" spans="1:11" x14ac:dyDescent="0.2">
      <c r="D13" s="7"/>
      <c r="F13" s="15"/>
      <c r="G13" s="15"/>
      <c r="H13" s="15"/>
      <c r="I13" s="15"/>
      <c r="J13" s="15"/>
    </row>
    <row r="14" spans="1:11" x14ac:dyDescent="0.2">
      <c r="A14" s="3"/>
      <c r="C14" s="1" t="s">
        <v>17</v>
      </c>
      <c r="D14" s="16">
        <v>1027</v>
      </c>
      <c r="E14" s="3">
        <v>25375</v>
      </c>
      <c r="F14" s="3">
        <v>122766.11</v>
      </c>
      <c r="G14" s="3">
        <v>394183.11</v>
      </c>
      <c r="H14" s="3">
        <v>914681.59</v>
      </c>
      <c r="I14" s="3">
        <v>503536.95</v>
      </c>
      <c r="J14" s="3">
        <v>444081.36</v>
      </c>
    </row>
    <row r="15" spans="1:11" x14ac:dyDescent="0.2">
      <c r="A15" s="3"/>
      <c r="C15" s="1" t="s">
        <v>18</v>
      </c>
      <c r="D15" s="16">
        <v>236</v>
      </c>
      <c r="E15" s="3">
        <v>3870</v>
      </c>
      <c r="F15" s="3">
        <v>15151.8</v>
      </c>
      <c r="G15" s="3">
        <v>107000.65</v>
      </c>
      <c r="H15" s="3">
        <v>195450.89</v>
      </c>
      <c r="I15" s="3">
        <v>86451.66</v>
      </c>
      <c r="J15" s="3">
        <v>79456.160000000003</v>
      </c>
    </row>
    <row r="16" spans="1:11" x14ac:dyDescent="0.2">
      <c r="A16" s="3"/>
      <c r="C16" s="1" t="s">
        <v>19</v>
      </c>
      <c r="D16" s="16">
        <v>75</v>
      </c>
      <c r="E16" s="3">
        <v>1423</v>
      </c>
      <c r="F16" s="3">
        <v>6515.31</v>
      </c>
      <c r="G16" s="3">
        <v>16266.56</v>
      </c>
      <c r="H16" s="3">
        <v>110609.14</v>
      </c>
      <c r="I16" s="3">
        <v>19564.810000000001</v>
      </c>
      <c r="J16" s="3">
        <v>12722.92</v>
      </c>
    </row>
    <row r="17" spans="1:10" x14ac:dyDescent="0.2">
      <c r="A17" s="3"/>
      <c r="C17" s="1" t="s">
        <v>20</v>
      </c>
      <c r="D17" s="16">
        <v>85</v>
      </c>
      <c r="E17" s="3">
        <v>2099</v>
      </c>
      <c r="F17" s="3">
        <v>11267.13</v>
      </c>
      <c r="G17" s="3">
        <v>302032.25</v>
      </c>
      <c r="H17" s="3">
        <v>549381.44999999995</v>
      </c>
      <c r="I17" s="3">
        <v>118169.49</v>
      </c>
      <c r="J17" s="3">
        <v>40329.910000000003</v>
      </c>
    </row>
    <row r="18" spans="1:10" x14ac:dyDescent="0.2">
      <c r="A18" s="3"/>
      <c r="C18" s="1" t="s">
        <v>21</v>
      </c>
      <c r="D18" s="16">
        <v>85</v>
      </c>
      <c r="E18" s="3">
        <v>1365</v>
      </c>
      <c r="F18" s="3">
        <v>4578.74</v>
      </c>
      <c r="G18" s="3">
        <v>15032.6</v>
      </c>
      <c r="H18" s="3">
        <v>25013.360000000001</v>
      </c>
      <c r="I18" s="3">
        <v>9540.34</v>
      </c>
      <c r="J18" s="3">
        <v>8888.75</v>
      </c>
    </row>
    <row r="19" spans="1:10" x14ac:dyDescent="0.2">
      <c r="A19" s="3"/>
      <c r="C19" s="1" t="s">
        <v>22</v>
      </c>
      <c r="D19" s="16">
        <v>174</v>
      </c>
      <c r="E19" s="3">
        <v>2599</v>
      </c>
      <c r="F19" s="3">
        <v>7675.81</v>
      </c>
      <c r="G19" s="3">
        <v>23001.69</v>
      </c>
      <c r="H19" s="3">
        <v>40419.449999999997</v>
      </c>
      <c r="I19" s="3">
        <v>16610.87</v>
      </c>
      <c r="J19" s="3">
        <v>8293.09</v>
      </c>
    </row>
    <row r="20" spans="1:10" x14ac:dyDescent="0.2">
      <c r="A20" s="3"/>
      <c r="C20" s="1" t="s">
        <v>23</v>
      </c>
      <c r="D20" s="16">
        <v>63</v>
      </c>
      <c r="E20" s="3">
        <v>834</v>
      </c>
      <c r="F20" s="3">
        <v>2423.36</v>
      </c>
      <c r="G20" s="3">
        <v>7059.6</v>
      </c>
      <c r="H20" s="3">
        <v>12655.28</v>
      </c>
      <c r="I20" s="3">
        <v>5292.04</v>
      </c>
      <c r="J20" s="17" t="s">
        <v>24</v>
      </c>
    </row>
    <row r="21" spans="1:10" x14ac:dyDescent="0.2">
      <c r="A21" s="3"/>
      <c r="D21" s="16"/>
      <c r="E21" s="3"/>
      <c r="F21" s="3"/>
      <c r="G21" s="3"/>
      <c r="H21" s="3"/>
      <c r="I21" s="3"/>
      <c r="J21" s="3"/>
    </row>
    <row r="22" spans="1:10" x14ac:dyDescent="0.2">
      <c r="A22" s="3"/>
      <c r="C22" s="1" t="s">
        <v>25</v>
      </c>
      <c r="D22" s="16">
        <v>27</v>
      </c>
      <c r="E22" s="3">
        <v>524</v>
      </c>
      <c r="F22" s="3">
        <v>2480.85</v>
      </c>
      <c r="G22" s="3">
        <v>11661.93</v>
      </c>
      <c r="H22" s="3">
        <v>35559.4</v>
      </c>
      <c r="I22" s="3">
        <v>22782.66</v>
      </c>
      <c r="J22" s="17" t="s">
        <v>24</v>
      </c>
    </row>
    <row r="23" spans="1:10" x14ac:dyDescent="0.2">
      <c r="A23" s="3"/>
      <c r="C23" s="1" t="s">
        <v>26</v>
      </c>
      <c r="D23" s="16">
        <v>49</v>
      </c>
      <c r="E23" s="3">
        <v>725</v>
      </c>
      <c r="F23" s="3">
        <v>2239.6799999999998</v>
      </c>
      <c r="G23" s="3">
        <v>2971.31</v>
      </c>
      <c r="H23" s="3">
        <v>9473.0400000000009</v>
      </c>
      <c r="I23" s="3">
        <v>6193.11</v>
      </c>
      <c r="J23" s="3">
        <v>5057.43</v>
      </c>
    </row>
    <row r="24" spans="1:10" x14ac:dyDescent="0.2">
      <c r="A24" s="3"/>
      <c r="C24" s="1" t="s">
        <v>27</v>
      </c>
      <c r="D24" s="16">
        <v>16</v>
      </c>
      <c r="E24" s="3">
        <v>165</v>
      </c>
      <c r="F24" s="3">
        <v>456.5</v>
      </c>
      <c r="G24" s="3">
        <v>1069.06</v>
      </c>
      <c r="H24" s="3">
        <v>2083.46</v>
      </c>
      <c r="I24" s="3">
        <v>966.02</v>
      </c>
      <c r="J24" s="17" t="s">
        <v>24</v>
      </c>
    </row>
    <row r="25" spans="1:10" x14ac:dyDescent="0.2">
      <c r="D25" s="7"/>
      <c r="F25" s="3"/>
      <c r="G25" s="3"/>
      <c r="H25" s="3"/>
      <c r="I25" s="3"/>
      <c r="J25" s="3"/>
    </row>
    <row r="26" spans="1:10" x14ac:dyDescent="0.2">
      <c r="A26" s="3"/>
      <c r="C26" s="1" t="s">
        <v>28</v>
      </c>
      <c r="D26" s="16">
        <v>46</v>
      </c>
      <c r="E26" s="3">
        <v>999</v>
      </c>
      <c r="F26" s="3">
        <v>4356.3</v>
      </c>
      <c r="G26" s="3">
        <v>14742.27</v>
      </c>
      <c r="H26" s="3">
        <v>25467.98</v>
      </c>
      <c r="I26" s="3">
        <v>10229.77</v>
      </c>
      <c r="J26" s="3">
        <v>19102.310000000001</v>
      </c>
    </row>
    <row r="27" spans="1:10" x14ac:dyDescent="0.2">
      <c r="A27" s="3"/>
      <c r="C27" s="1" t="s">
        <v>29</v>
      </c>
      <c r="D27" s="16">
        <v>31</v>
      </c>
      <c r="E27" s="3">
        <v>801</v>
      </c>
      <c r="F27" s="3">
        <v>2733.68</v>
      </c>
      <c r="G27" s="3">
        <v>11278.85</v>
      </c>
      <c r="H27" s="3">
        <v>20570.07</v>
      </c>
      <c r="I27" s="3">
        <v>8854.33</v>
      </c>
      <c r="J27" s="3">
        <v>6860.56</v>
      </c>
    </row>
    <row r="28" spans="1:10" x14ac:dyDescent="0.2">
      <c r="A28" s="3"/>
      <c r="C28" s="1" t="s">
        <v>30</v>
      </c>
      <c r="D28" s="16">
        <v>25</v>
      </c>
      <c r="E28" s="3">
        <v>399</v>
      </c>
      <c r="F28" s="3">
        <v>1402.94</v>
      </c>
      <c r="G28" s="3">
        <v>5271.35</v>
      </c>
      <c r="H28" s="3">
        <v>7897.96</v>
      </c>
      <c r="I28" s="3">
        <v>2499.3200000000002</v>
      </c>
      <c r="J28" s="3">
        <v>573.41</v>
      </c>
    </row>
    <row r="29" spans="1:10" x14ac:dyDescent="0.2">
      <c r="A29" s="3"/>
      <c r="C29" s="1" t="s">
        <v>31</v>
      </c>
      <c r="D29" s="16">
        <v>34</v>
      </c>
      <c r="E29" s="3">
        <v>1005</v>
      </c>
      <c r="F29" s="3">
        <v>4468.3599999999997</v>
      </c>
      <c r="G29" s="3">
        <v>16603.509999999998</v>
      </c>
      <c r="H29" s="3">
        <v>30838.52</v>
      </c>
      <c r="I29" s="3">
        <v>13634.53</v>
      </c>
      <c r="J29" s="3">
        <v>18809.27</v>
      </c>
    </row>
    <row r="30" spans="1:10" x14ac:dyDescent="0.2">
      <c r="A30" s="3"/>
      <c r="C30" s="1" t="s">
        <v>32</v>
      </c>
      <c r="D30" s="16">
        <v>44</v>
      </c>
      <c r="E30" s="3">
        <v>891</v>
      </c>
      <c r="F30" s="3">
        <v>3132.82</v>
      </c>
      <c r="G30" s="3">
        <v>8410.7000000000007</v>
      </c>
      <c r="H30" s="3">
        <v>14523.7</v>
      </c>
      <c r="I30" s="3">
        <v>5864.72</v>
      </c>
      <c r="J30" s="3">
        <v>4703.4399999999996</v>
      </c>
    </row>
    <row r="31" spans="1:10" x14ac:dyDescent="0.2">
      <c r="A31" s="3"/>
      <c r="C31" s="1" t="s">
        <v>33</v>
      </c>
      <c r="D31" s="16">
        <v>47</v>
      </c>
      <c r="E31" s="3">
        <v>921</v>
      </c>
      <c r="F31" s="3">
        <v>3032.21</v>
      </c>
      <c r="G31" s="3">
        <v>5017.45</v>
      </c>
      <c r="H31" s="3">
        <v>11997.25</v>
      </c>
      <c r="I31" s="3">
        <v>6609.93</v>
      </c>
      <c r="J31" s="3">
        <v>8058.52</v>
      </c>
    </row>
    <row r="32" spans="1:10" x14ac:dyDescent="0.2">
      <c r="D32" s="7"/>
      <c r="F32" s="3"/>
      <c r="G32" s="3"/>
      <c r="H32" s="3"/>
      <c r="I32" s="3"/>
      <c r="J32" s="3"/>
    </row>
    <row r="33" spans="1:10" x14ac:dyDescent="0.2">
      <c r="A33" s="3"/>
      <c r="C33" s="1" t="s">
        <v>34</v>
      </c>
      <c r="D33" s="16">
        <v>66</v>
      </c>
      <c r="E33" s="3">
        <v>1448</v>
      </c>
      <c r="F33" s="3">
        <v>4524.93</v>
      </c>
      <c r="G33" s="3">
        <v>13649.06</v>
      </c>
      <c r="H33" s="3">
        <v>24252.03</v>
      </c>
      <c r="I33" s="3">
        <v>10074.76</v>
      </c>
      <c r="J33" s="3">
        <v>9946.0300000000007</v>
      </c>
    </row>
    <row r="34" spans="1:10" x14ac:dyDescent="0.2">
      <c r="A34" s="3"/>
      <c r="C34" s="1" t="s">
        <v>35</v>
      </c>
      <c r="D34" s="16">
        <v>116</v>
      </c>
      <c r="E34" s="3">
        <v>1185</v>
      </c>
      <c r="F34" s="3">
        <v>3641.04</v>
      </c>
      <c r="G34" s="3">
        <v>9566.25</v>
      </c>
      <c r="H34" s="3">
        <v>17403.009999999998</v>
      </c>
      <c r="I34" s="3">
        <v>7458.56</v>
      </c>
      <c r="J34" s="3">
        <v>3170.48</v>
      </c>
    </row>
    <row r="35" spans="1:10" x14ac:dyDescent="0.2">
      <c r="A35" s="3"/>
      <c r="C35" s="1" t="s">
        <v>36</v>
      </c>
      <c r="D35" s="16">
        <v>13</v>
      </c>
      <c r="E35" s="3">
        <v>126</v>
      </c>
      <c r="F35" s="3">
        <v>356.56</v>
      </c>
      <c r="G35" s="3">
        <v>620.79</v>
      </c>
      <c r="H35" s="3">
        <v>1326.84</v>
      </c>
      <c r="I35" s="3">
        <v>672.44</v>
      </c>
      <c r="J35" s="17" t="s">
        <v>24</v>
      </c>
    </row>
    <row r="36" spans="1:10" x14ac:dyDescent="0.2">
      <c r="A36" s="3"/>
      <c r="C36" s="1" t="s">
        <v>37</v>
      </c>
      <c r="D36" s="16">
        <v>12</v>
      </c>
      <c r="E36" s="3">
        <v>138</v>
      </c>
      <c r="F36" s="3">
        <v>488.34</v>
      </c>
      <c r="G36" s="3">
        <v>295.95</v>
      </c>
      <c r="H36" s="3">
        <v>1417.9</v>
      </c>
      <c r="I36" s="3">
        <v>1068.52</v>
      </c>
      <c r="J36" s="17" t="s">
        <v>38</v>
      </c>
    </row>
    <row r="37" spans="1:10" x14ac:dyDescent="0.2">
      <c r="A37" s="3"/>
      <c r="C37" s="1" t="s">
        <v>39</v>
      </c>
      <c r="D37" s="16">
        <v>3</v>
      </c>
      <c r="E37" s="3">
        <v>28</v>
      </c>
      <c r="F37" s="3">
        <v>99.04</v>
      </c>
      <c r="G37" s="3">
        <v>148.68</v>
      </c>
      <c r="H37" s="3">
        <v>315.02</v>
      </c>
      <c r="I37" s="3">
        <v>158.41</v>
      </c>
      <c r="J37" s="17" t="s">
        <v>38</v>
      </c>
    </row>
    <row r="38" spans="1:10" x14ac:dyDescent="0.2">
      <c r="D38" s="7"/>
      <c r="F38" s="3"/>
      <c r="G38" s="3"/>
      <c r="H38" s="3"/>
      <c r="I38" s="3"/>
      <c r="J38" s="3"/>
    </row>
    <row r="39" spans="1:10" x14ac:dyDescent="0.2">
      <c r="A39" s="3"/>
      <c r="C39" s="1" t="s">
        <v>40</v>
      </c>
      <c r="D39" s="16">
        <v>50</v>
      </c>
      <c r="E39" s="3">
        <v>631</v>
      </c>
      <c r="F39" s="3">
        <v>1573.74</v>
      </c>
      <c r="G39" s="3">
        <v>4553.07</v>
      </c>
      <c r="H39" s="3">
        <v>8429.66</v>
      </c>
      <c r="I39" s="3">
        <v>3691.8</v>
      </c>
      <c r="J39" s="3">
        <v>936.08</v>
      </c>
    </row>
    <row r="40" spans="1:10" x14ac:dyDescent="0.2">
      <c r="A40" s="3"/>
      <c r="C40" s="1" t="s">
        <v>41</v>
      </c>
      <c r="D40" s="16">
        <v>32</v>
      </c>
      <c r="E40" s="3">
        <v>598</v>
      </c>
      <c r="F40" s="3">
        <v>1975.75</v>
      </c>
      <c r="G40" s="3">
        <v>5962.9</v>
      </c>
      <c r="H40" s="3">
        <v>9947.23</v>
      </c>
      <c r="I40" s="3">
        <v>3803.38</v>
      </c>
      <c r="J40" s="3">
        <v>2618.27</v>
      </c>
    </row>
    <row r="41" spans="1:10" x14ac:dyDescent="0.2">
      <c r="A41" s="3"/>
      <c r="C41" s="1" t="s">
        <v>42</v>
      </c>
      <c r="D41" s="16">
        <v>32</v>
      </c>
      <c r="E41" s="3">
        <v>1179</v>
      </c>
      <c r="F41" s="3">
        <v>4075.85</v>
      </c>
      <c r="G41" s="3">
        <v>19159.91</v>
      </c>
      <c r="H41" s="3">
        <v>30161.88</v>
      </c>
      <c r="I41" s="3">
        <v>10474.52</v>
      </c>
      <c r="J41" s="3">
        <v>9553.19</v>
      </c>
    </row>
    <row r="42" spans="1:10" x14ac:dyDescent="0.2">
      <c r="A42" s="3"/>
      <c r="C42" s="1" t="s">
        <v>43</v>
      </c>
      <c r="D42" s="16">
        <v>14</v>
      </c>
      <c r="E42" s="3">
        <v>92</v>
      </c>
      <c r="F42" s="3">
        <v>188.5</v>
      </c>
      <c r="G42" s="3">
        <v>702.94</v>
      </c>
      <c r="H42" s="3">
        <v>1014.44</v>
      </c>
      <c r="I42" s="3">
        <v>282.23</v>
      </c>
      <c r="J42" s="17" t="s">
        <v>38</v>
      </c>
    </row>
    <row r="43" spans="1:10" x14ac:dyDescent="0.2">
      <c r="A43" s="3"/>
      <c r="C43" s="1" t="s">
        <v>44</v>
      </c>
      <c r="D43" s="16">
        <v>12</v>
      </c>
      <c r="E43" s="3">
        <v>210</v>
      </c>
      <c r="F43" s="3">
        <v>607.23</v>
      </c>
      <c r="G43" s="3">
        <v>1669.71</v>
      </c>
      <c r="H43" s="3">
        <v>3075.05</v>
      </c>
      <c r="I43" s="3">
        <v>1339.1</v>
      </c>
      <c r="J43" s="17" t="s">
        <v>24</v>
      </c>
    </row>
    <row r="44" spans="1:10" x14ac:dyDescent="0.2">
      <c r="D44" s="7"/>
      <c r="F44" s="3"/>
      <c r="G44" s="3"/>
      <c r="H44" s="3"/>
      <c r="I44" s="3"/>
      <c r="J44" s="3"/>
    </row>
    <row r="45" spans="1:10" x14ac:dyDescent="0.2">
      <c r="A45" s="3"/>
      <c r="C45" s="1" t="s">
        <v>45</v>
      </c>
      <c r="D45" s="16">
        <v>18</v>
      </c>
      <c r="E45" s="3">
        <v>280</v>
      </c>
      <c r="F45" s="3">
        <v>995.81</v>
      </c>
      <c r="G45" s="3">
        <v>3780.72</v>
      </c>
      <c r="H45" s="3">
        <v>5910.34</v>
      </c>
      <c r="I45" s="3">
        <v>2030.15</v>
      </c>
      <c r="J45" s="17" t="s">
        <v>24</v>
      </c>
    </row>
    <row r="46" spans="1:10" x14ac:dyDescent="0.2">
      <c r="A46" s="3"/>
      <c r="C46" s="1" t="s">
        <v>46</v>
      </c>
      <c r="D46" s="16">
        <v>19</v>
      </c>
      <c r="E46" s="3">
        <v>177</v>
      </c>
      <c r="F46" s="3">
        <v>634.29</v>
      </c>
      <c r="G46" s="3">
        <v>2485.0100000000002</v>
      </c>
      <c r="H46" s="3">
        <v>3837.72</v>
      </c>
      <c r="I46" s="3">
        <v>1289.42</v>
      </c>
      <c r="J46" s="17" t="s">
        <v>24</v>
      </c>
    </row>
    <row r="47" spans="1:10" x14ac:dyDescent="0.2">
      <c r="A47" s="3"/>
      <c r="C47" s="1" t="s">
        <v>47</v>
      </c>
      <c r="D47" s="16">
        <v>18</v>
      </c>
      <c r="E47" s="3">
        <v>478</v>
      </c>
      <c r="F47" s="3">
        <v>2031.62</v>
      </c>
      <c r="G47" s="3">
        <v>6144.19</v>
      </c>
      <c r="H47" s="3">
        <v>17554.080000000002</v>
      </c>
      <c r="I47" s="3">
        <v>10892.16</v>
      </c>
      <c r="J47" s="3">
        <v>4049.96</v>
      </c>
    </row>
    <row r="48" spans="1:10" x14ac:dyDescent="0.2">
      <c r="A48" s="3"/>
      <c r="C48" s="1" t="s">
        <v>48</v>
      </c>
      <c r="D48" s="16">
        <v>19</v>
      </c>
      <c r="E48" s="3">
        <v>584</v>
      </c>
      <c r="F48" s="3">
        <v>2005.82</v>
      </c>
      <c r="G48" s="3">
        <v>4559.6000000000004</v>
      </c>
      <c r="H48" s="3">
        <v>9976.6200000000008</v>
      </c>
      <c r="I48" s="3">
        <v>5173.2700000000004</v>
      </c>
      <c r="J48" s="3">
        <v>4253.3500000000004</v>
      </c>
    </row>
    <row r="49" spans="1:10" x14ac:dyDescent="0.2">
      <c r="A49" s="3"/>
      <c r="C49" s="1" t="s">
        <v>49</v>
      </c>
      <c r="D49" s="16">
        <v>4</v>
      </c>
      <c r="E49" s="3">
        <v>34</v>
      </c>
      <c r="F49" s="3">
        <v>111.59</v>
      </c>
      <c r="G49" s="3">
        <v>403.35</v>
      </c>
      <c r="H49" s="3">
        <v>797.27</v>
      </c>
      <c r="I49" s="3">
        <v>375.45</v>
      </c>
      <c r="J49" s="17" t="s">
        <v>38</v>
      </c>
    </row>
    <row r="50" spans="1:10" x14ac:dyDescent="0.2">
      <c r="A50" s="3"/>
      <c r="C50" s="1" t="s">
        <v>50</v>
      </c>
      <c r="D50" s="16">
        <v>4</v>
      </c>
      <c r="E50" s="3">
        <v>158</v>
      </c>
      <c r="F50" s="3">
        <v>383.86</v>
      </c>
      <c r="G50" s="3">
        <v>704.7</v>
      </c>
      <c r="H50" s="3">
        <v>1836.83</v>
      </c>
      <c r="I50" s="3">
        <v>1082.21</v>
      </c>
      <c r="J50" s="17" t="s">
        <v>24</v>
      </c>
    </row>
    <row r="51" spans="1:10" x14ac:dyDescent="0.2">
      <c r="A51" s="3"/>
      <c r="C51" s="1" t="s">
        <v>51</v>
      </c>
      <c r="D51" s="16">
        <v>10</v>
      </c>
      <c r="E51" s="3">
        <v>158</v>
      </c>
      <c r="F51" s="3">
        <v>497.17</v>
      </c>
      <c r="G51" s="3">
        <v>668.25</v>
      </c>
      <c r="H51" s="3">
        <v>1436.74</v>
      </c>
      <c r="I51" s="3">
        <v>731.89</v>
      </c>
      <c r="J51" s="17" t="s">
        <v>24</v>
      </c>
    </row>
    <row r="52" spans="1:10" x14ac:dyDescent="0.2">
      <c r="A52" s="3"/>
      <c r="C52" s="1" t="s">
        <v>52</v>
      </c>
      <c r="D52" s="16">
        <v>49</v>
      </c>
      <c r="E52" s="3">
        <v>834</v>
      </c>
      <c r="F52" s="3">
        <v>2391.5500000000002</v>
      </c>
      <c r="G52" s="3">
        <v>9392.4599999999991</v>
      </c>
      <c r="H52" s="3">
        <v>16334.92</v>
      </c>
      <c r="I52" s="3">
        <v>6598.23</v>
      </c>
      <c r="J52" s="3">
        <v>2009.3</v>
      </c>
    </row>
    <row r="53" spans="1:10" x14ac:dyDescent="0.2">
      <c r="A53" s="3"/>
      <c r="C53" s="1" t="s">
        <v>53</v>
      </c>
      <c r="D53" s="16">
        <v>48</v>
      </c>
      <c r="E53" s="3">
        <v>1016</v>
      </c>
      <c r="F53" s="3">
        <v>3411.92</v>
      </c>
      <c r="G53" s="3">
        <v>14233</v>
      </c>
      <c r="H53" s="3">
        <v>24156.77</v>
      </c>
      <c r="I53" s="3">
        <v>9461.56</v>
      </c>
      <c r="J53" s="3">
        <v>6719.35</v>
      </c>
    </row>
    <row r="54" spans="1:10" x14ac:dyDescent="0.2">
      <c r="A54" s="3"/>
      <c r="C54" s="1" t="s">
        <v>54</v>
      </c>
      <c r="D54" s="16">
        <v>28</v>
      </c>
      <c r="E54" s="3">
        <v>663</v>
      </c>
      <c r="F54" s="3">
        <v>2558.35</v>
      </c>
      <c r="G54" s="3">
        <v>6636.29</v>
      </c>
      <c r="H54" s="3">
        <v>12351.16</v>
      </c>
      <c r="I54" s="3">
        <v>5529.07</v>
      </c>
      <c r="J54" s="3">
        <v>3384.07</v>
      </c>
    </row>
    <row r="55" spans="1:10" x14ac:dyDescent="0.2">
      <c r="D55" s="7"/>
      <c r="F55" s="3"/>
      <c r="G55" s="3"/>
      <c r="H55" s="3"/>
      <c r="I55" s="3"/>
      <c r="J55" s="3"/>
    </row>
    <row r="56" spans="1:10" x14ac:dyDescent="0.2">
      <c r="A56" s="3"/>
      <c r="C56" s="1" t="s">
        <v>55</v>
      </c>
      <c r="D56" s="16">
        <v>36</v>
      </c>
      <c r="E56" s="3">
        <v>658</v>
      </c>
      <c r="F56" s="3">
        <v>2067.2800000000002</v>
      </c>
      <c r="G56" s="3">
        <v>4177.3999999999996</v>
      </c>
      <c r="H56" s="3">
        <v>7079.39</v>
      </c>
      <c r="I56" s="3">
        <v>2756.24</v>
      </c>
      <c r="J56" s="3">
        <v>530.97</v>
      </c>
    </row>
    <row r="57" spans="1:10" x14ac:dyDescent="0.2">
      <c r="A57" s="3"/>
      <c r="C57" s="1" t="s">
        <v>56</v>
      </c>
      <c r="D57" s="16">
        <v>12</v>
      </c>
      <c r="E57" s="3">
        <v>179</v>
      </c>
      <c r="F57" s="3">
        <v>464.8</v>
      </c>
      <c r="G57" s="3">
        <v>281.51</v>
      </c>
      <c r="H57" s="3">
        <v>1093.1300000000001</v>
      </c>
      <c r="I57" s="3">
        <v>755.02</v>
      </c>
      <c r="J57" s="17" t="s">
        <v>24</v>
      </c>
    </row>
    <row r="58" spans="1:10" x14ac:dyDescent="0.2">
      <c r="A58" s="3"/>
      <c r="C58" s="1" t="s">
        <v>57</v>
      </c>
      <c r="D58" s="16">
        <v>11</v>
      </c>
      <c r="E58" s="3">
        <v>145</v>
      </c>
      <c r="F58" s="3">
        <v>375.89</v>
      </c>
      <c r="G58" s="3">
        <v>930.89</v>
      </c>
      <c r="H58" s="3">
        <v>1608.12</v>
      </c>
      <c r="I58" s="3">
        <v>644.20000000000005</v>
      </c>
      <c r="J58" s="17" t="s">
        <v>24</v>
      </c>
    </row>
    <row r="59" spans="1:10" x14ac:dyDescent="0.2">
      <c r="A59" s="3"/>
      <c r="C59" s="1" t="s">
        <v>58</v>
      </c>
      <c r="D59" s="16">
        <v>30</v>
      </c>
      <c r="E59" s="3">
        <v>875</v>
      </c>
      <c r="F59" s="3">
        <v>3253.64</v>
      </c>
      <c r="G59" s="3">
        <v>7280.59</v>
      </c>
      <c r="H59" s="3">
        <v>16733.169999999998</v>
      </c>
      <c r="I59" s="3">
        <v>9016.23</v>
      </c>
      <c r="J59" s="3">
        <v>5440.24</v>
      </c>
    </row>
    <row r="60" spans="1:10" x14ac:dyDescent="0.2">
      <c r="A60" s="3"/>
      <c r="C60" s="1" t="s">
        <v>59</v>
      </c>
      <c r="D60" s="16">
        <v>14</v>
      </c>
      <c r="E60" s="3">
        <v>269</v>
      </c>
      <c r="F60" s="3">
        <v>772.01</v>
      </c>
      <c r="G60" s="3">
        <v>1367.44</v>
      </c>
      <c r="H60" s="3">
        <v>3265.66</v>
      </c>
      <c r="I60" s="3">
        <v>1811.35</v>
      </c>
      <c r="J60" s="17" t="s">
        <v>24</v>
      </c>
    </row>
    <row r="61" spans="1:10" x14ac:dyDescent="0.2">
      <c r="A61" s="3"/>
      <c r="C61" s="1" t="s">
        <v>60</v>
      </c>
      <c r="D61" s="16">
        <v>16</v>
      </c>
      <c r="E61" s="3">
        <v>184</v>
      </c>
      <c r="F61" s="3">
        <v>519.03</v>
      </c>
      <c r="G61" s="3">
        <v>2438.37</v>
      </c>
      <c r="H61" s="3">
        <v>3917.91</v>
      </c>
      <c r="I61" s="3">
        <v>1409.19</v>
      </c>
      <c r="J61" s="17" t="s">
        <v>38</v>
      </c>
    </row>
    <row r="62" spans="1:10" x14ac:dyDescent="0.2">
      <c r="A62" s="3"/>
      <c r="C62" s="1" t="s">
        <v>61</v>
      </c>
      <c r="D62" s="16">
        <v>26</v>
      </c>
      <c r="E62" s="3">
        <v>346</v>
      </c>
      <c r="F62" s="3">
        <v>999.99</v>
      </c>
      <c r="G62" s="3">
        <v>2639.51</v>
      </c>
      <c r="H62" s="3">
        <v>4018.65</v>
      </c>
      <c r="I62" s="3">
        <v>1316.23</v>
      </c>
      <c r="J62" s="17" t="s">
        <v>24</v>
      </c>
    </row>
    <row r="63" spans="1:10" x14ac:dyDescent="0.2">
      <c r="D63" s="7"/>
      <c r="F63" s="3"/>
      <c r="G63" s="3"/>
      <c r="H63" s="3"/>
      <c r="I63" s="3"/>
      <c r="J63" s="3"/>
    </row>
    <row r="64" spans="1:10" x14ac:dyDescent="0.2">
      <c r="A64" s="3"/>
      <c r="C64" s="1" t="s">
        <v>62</v>
      </c>
      <c r="D64" s="16">
        <v>30</v>
      </c>
      <c r="E64" s="3">
        <v>315</v>
      </c>
      <c r="F64" s="3">
        <v>833.22</v>
      </c>
      <c r="G64" s="3">
        <v>1771.95</v>
      </c>
      <c r="H64" s="3">
        <v>3352.92</v>
      </c>
      <c r="I64" s="3">
        <v>1505.74</v>
      </c>
      <c r="J64" s="17" t="s">
        <v>24</v>
      </c>
    </row>
    <row r="65" spans="1:10" x14ac:dyDescent="0.2">
      <c r="A65" s="3"/>
      <c r="C65" s="1" t="s">
        <v>63</v>
      </c>
      <c r="D65" s="16">
        <v>11</v>
      </c>
      <c r="E65" s="3">
        <v>125</v>
      </c>
      <c r="F65" s="3">
        <v>262.60000000000002</v>
      </c>
      <c r="G65" s="3">
        <v>646.41</v>
      </c>
      <c r="H65" s="3">
        <v>1236.25</v>
      </c>
      <c r="I65" s="3">
        <v>564.02</v>
      </c>
      <c r="J65" s="17" t="s">
        <v>24</v>
      </c>
    </row>
    <row r="66" spans="1:10" x14ac:dyDescent="0.2">
      <c r="A66" s="3"/>
      <c r="C66" s="1" t="s">
        <v>64</v>
      </c>
      <c r="D66" s="16">
        <v>14</v>
      </c>
      <c r="E66" s="3">
        <v>148</v>
      </c>
      <c r="F66" s="3">
        <v>247.51</v>
      </c>
      <c r="G66" s="3">
        <v>520.26</v>
      </c>
      <c r="H66" s="3">
        <v>940.81</v>
      </c>
      <c r="I66" s="3">
        <v>400.53</v>
      </c>
      <c r="J66" s="17" t="s">
        <v>38</v>
      </c>
    </row>
    <row r="67" spans="1:10" x14ac:dyDescent="0.2">
      <c r="A67" s="3"/>
      <c r="C67" s="1" t="s">
        <v>65</v>
      </c>
      <c r="D67" s="16">
        <v>8</v>
      </c>
      <c r="E67" s="3">
        <v>57</v>
      </c>
      <c r="F67" s="3">
        <v>154.37</v>
      </c>
      <c r="G67" s="3">
        <v>301.66000000000003</v>
      </c>
      <c r="H67" s="3">
        <v>635.30999999999995</v>
      </c>
      <c r="I67" s="3">
        <v>317.77999999999997</v>
      </c>
      <c r="J67" s="17" t="s">
        <v>38</v>
      </c>
    </row>
    <row r="68" spans="1:10" x14ac:dyDescent="0.2">
      <c r="A68" s="3"/>
      <c r="C68" s="1" t="s">
        <v>66</v>
      </c>
      <c r="D68" s="16">
        <v>5</v>
      </c>
      <c r="E68" s="3">
        <v>64</v>
      </c>
      <c r="F68" s="3">
        <v>265.57</v>
      </c>
      <c r="G68" s="3">
        <v>687.03</v>
      </c>
      <c r="H68" s="3">
        <v>1103.19</v>
      </c>
      <c r="I68" s="3">
        <v>385.04</v>
      </c>
      <c r="J68" s="17" t="s">
        <v>24</v>
      </c>
    </row>
    <row r="69" spans="1:10" x14ac:dyDescent="0.2">
      <c r="A69" s="3"/>
      <c r="C69" s="1" t="s">
        <v>67</v>
      </c>
      <c r="D69" s="16">
        <v>3</v>
      </c>
      <c r="E69" s="3">
        <v>41</v>
      </c>
      <c r="F69" s="3">
        <v>101.17</v>
      </c>
      <c r="G69" s="3">
        <v>179.42</v>
      </c>
      <c r="H69" s="3">
        <v>253.84</v>
      </c>
      <c r="I69" s="3">
        <v>70.87</v>
      </c>
      <c r="J69" s="17" t="s">
        <v>38</v>
      </c>
    </row>
    <row r="70" spans="1:10" x14ac:dyDescent="0.2">
      <c r="A70" s="3"/>
      <c r="C70" s="1" t="s">
        <v>68</v>
      </c>
      <c r="D70" s="18" t="s">
        <v>38</v>
      </c>
      <c r="E70" s="17" t="s">
        <v>38</v>
      </c>
      <c r="F70" s="17" t="s">
        <v>38</v>
      </c>
      <c r="G70" s="17" t="s">
        <v>38</v>
      </c>
      <c r="H70" s="17" t="s">
        <v>38</v>
      </c>
      <c r="I70" s="17" t="s">
        <v>38</v>
      </c>
      <c r="J70" s="17" t="s">
        <v>38</v>
      </c>
    </row>
    <row r="71" spans="1:10" ht="18" thickBot="1" x14ac:dyDescent="0.25">
      <c r="B71" s="5"/>
      <c r="C71" s="19"/>
      <c r="D71" s="20"/>
      <c r="E71" s="21"/>
      <c r="F71" s="22"/>
      <c r="G71" s="22"/>
      <c r="H71" s="22"/>
      <c r="I71" s="22"/>
      <c r="J71" s="22"/>
    </row>
    <row r="72" spans="1:10" x14ac:dyDescent="0.2">
      <c r="D72" s="1" t="s">
        <v>69</v>
      </c>
      <c r="H72" s="1" t="s">
        <v>70</v>
      </c>
      <c r="I72" s="23"/>
      <c r="J72" s="23"/>
    </row>
    <row r="73" spans="1:10" x14ac:dyDescent="0.2">
      <c r="A73" s="1"/>
    </row>
    <row r="74" spans="1:10" x14ac:dyDescent="0.2">
      <c r="F74" s="23"/>
      <c r="G74" s="23"/>
      <c r="H74" s="23"/>
      <c r="I74" s="23"/>
      <c r="J74" s="23"/>
    </row>
  </sheetData>
  <phoneticPr fontId="2"/>
  <pageMargins left="0.34" right="0.56999999999999995" top="0.63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15"/>
  <sheetViews>
    <sheetView showGridLines="0" topLeftCell="A3" zoomScale="75" zoomScaleNormal="100" workbookViewId="0">
      <pane xSplit="3" ySplit="7" topLeftCell="D10" activePane="bottomRight" state="frozen"/>
      <selection activeCell="A3" sqref="A3"/>
      <selection pane="topRight" activeCell="D3" sqref="D3"/>
      <selection pane="bottomLeft" activeCell="A10" sqref="A10"/>
      <selection pane="bottomRight" activeCell="J46" sqref="J46"/>
    </sheetView>
  </sheetViews>
  <sheetFormatPr defaultColWidth="14.625" defaultRowHeight="17.25" x14ac:dyDescent="0.2"/>
  <cols>
    <col min="1" max="1" width="13.375" style="2" customWidth="1"/>
    <col min="2" max="2" width="3.375" style="2" customWidth="1"/>
    <col min="3" max="3" width="28.375" style="2" customWidth="1"/>
    <col min="4" max="8" width="14.625" style="2"/>
    <col min="9" max="10" width="13.375" style="2" customWidth="1"/>
    <col min="11" max="256" width="14.625" style="2"/>
    <col min="257" max="257" width="13.375" style="2" customWidth="1"/>
    <col min="258" max="258" width="3.375" style="2" customWidth="1"/>
    <col min="259" max="259" width="28.375" style="2" customWidth="1"/>
    <col min="260" max="264" width="14.625" style="2"/>
    <col min="265" max="266" width="13.375" style="2" customWidth="1"/>
    <col min="267" max="512" width="14.625" style="2"/>
    <col min="513" max="513" width="13.375" style="2" customWidth="1"/>
    <col min="514" max="514" width="3.375" style="2" customWidth="1"/>
    <col min="515" max="515" width="28.375" style="2" customWidth="1"/>
    <col min="516" max="520" width="14.625" style="2"/>
    <col min="521" max="522" width="13.375" style="2" customWidth="1"/>
    <col min="523" max="768" width="14.625" style="2"/>
    <col min="769" max="769" width="13.375" style="2" customWidth="1"/>
    <col min="770" max="770" width="3.375" style="2" customWidth="1"/>
    <col min="771" max="771" width="28.375" style="2" customWidth="1"/>
    <col min="772" max="776" width="14.625" style="2"/>
    <col min="777" max="778" width="13.375" style="2" customWidth="1"/>
    <col min="779" max="1024" width="14.625" style="2"/>
    <col min="1025" max="1025" width="13.375" style="2" customWidth="1"/>
    <col min="1026" max="1026" width="3.375" style="2" customWidth="1"/>
    <col min="1027" max="1027" width="28.375" style="2" customWidth="1"/>
    <col min="1028" max="1032" width="14.625" style="2"/>
    <col min="1033" max="1034" width="13.375" style="2" customWidth="1"/>
    <col min="1035" max="1280" width="14.625" style="2"/>
    <col min="1281" max="1281" width="13.375" style="2" customWidth="1"/>
    <col min="1282" max="1282" width="3.375" style="2" customWidth="1"/>
    <col min="1283" max="1283" width="28.375" style="2" customWidth="1"/>
    <col min="1284" max="1288" width="14.625" style="2"/>
    <col min="1289" max="1290" width="13.375" style="2" customWidth="1"/>
    <col min="1291" max="1536" width="14.625" style="2"/>
    <col min="1537" max="1537" width="13.375" style="2" customWidth="1"/>
    <col min="1538" max="1538" width="3.375" style="2" customWidth="1"/>
    <col min="1539" max="1539" width="28.375" style="2" customWidth="1"/>
    <col min="1540" max="1544" width="14.625" style="2"/>
    <col min="1545" max="1546" width="13.375" style="2" customWidth="1"/>
    <col min="1547" max="1792" width="14.625" style="2"/>
    <col min="1793" max="1793" width="13.375" style="2" customWidth="1"/>
    <col min="1794" max="1794" width="3.375" style="2" customWidth="1"/>
    <col min="1795" max="1795" width="28.375" style="2" customWidth="1"/>
    <col min="1796" max="1800" width="14.625" style="2"/>
    <col min="1801" max="1802" width="13.375" style="2" customWidth="1"/>
    <col min="1803" max="2048" width="14.625" style="2"/>
    <col min="2049" max="2049" width="13.375" style="2" customWidth="1"/>
    <col min="2050" max="2050" width="3.375" style="2" customWidth="1"/>
    <col min="2051" max="2051" width="28.375" style="2" customWidth="1"/>
    <col min="2052" max="2056" width="14.625" style="2"/>
    <col min="2057" max="2058" width="13.375" style="2" customWidth="1"/>
    <col min="2059" max="2304" width="14.625" style="2"/>
    <col min="2305" max="2305" width="13.375" style="2" customWidth="1"/>
    <col min="2306" max="2306" width="3.375" style="2" customWidth="1"/>
    <col min="2307" max="2307" width="28.375" style="2" customWidth="1"/>
    <col min="2308" max="2312" width="14.625" style="2"/>
    <col min="2313" max="2314" width="13.375" style="2" customWidth="1"/>
    <col min="2315" max="2560" width="14.625" style="2"/>
    <col min="2561" max="2561" width="13.375" style="2" customWidth="1"/>
    <col min="2562" max="2562" width="3.375" style="2" customWidth="1"/>
    <col min="2563" max="2563" width="28.375" style="2" customWidth="1"/>
    <col min="2564" max="2568" width="14.625" style="2"/>
    <col min="2569" max="2570" width="13.375" style="2" customWidth="1"/>
    <col min="2571" max="2816" width="14.625" style="2"/>
    <col min="2817" max="2817" width="13.375" style="2" customWidth="1"/>
    <col min="2818" max="2818" width="3.375" style="2" customWidth="1"/>
    <col min="2819" max="2819" width="28.375" style="2" customWidth="1"/>
    <col min="2820" max="2824" width="14.625" style="2"/>
    <col min="2825" max="2826" width="13.375" style="2" customWidth="1"/>
    <col min="2827" max="3072" width="14.625" style="2"/>
    <col min="3073" max="3073" width="13.375" style="2" customWidth="1"/>
    <col min="3074" max="3074" width="3.375" style="2" customWidth="1"/>
    <col min="3075" max="3075" width="28.375" style="2" customWidth="1"/>
    <col min="3076" max="3080" width="14.625" style="2"/>
    <col min="3081" max="3082" width="13.375" style="2" customWidth="1"/>
    <col min="3083" max="3328" width="14.625" style="2"/>
    <col min="3329" max="3329" width="13.375" style="2" customWidth="1"/>
    <col min="3330" max="3330" width="3.375" style="2" customWidth="1"/>
    <col min="3331" max="3331" width="28.375" style="2" customWidth="1"/>
    <col min="3332" max="3336" width="14.625" style="2"/>
    <col min="3337" max="3338" width="13.375" style="2" customWidth="1"/>
    <col min="3339" max="3584" width="14.625" style="2"/>
    <col min="3585" max="3585" width="13.375" style="2" customWidth="1"/>
    <col min="3586" max="3586" width="3.375" style="2" customWidth="1"/>
    <col min="3587" max="3587" width="28.375" style="2" customWidth="1"/>
    <col min="3588" max="3592" width="14.625" style="2"/>
    <col min="3593" max="3594" width="13.375" style="2" customWidth="1"/>
    <col min="3595" max="3840" width="14.625" style="2"/>
    <col min="3841" max="3841" width="13.375" style="2" customWidth="1"/>
    <col min="3842" max="3842" width="3.375" style="2" customWidth="1"/>
    <col min="3843" max="3843" width="28.375" style="2" customWidth="1"/>
    <col min="3844" max="3848" width="14.625" style="2"/>
    <col min="3849" max="3850" width="13.375" style="2" customWidth="1"/>
    <col min="3851" max="4096" width="14.625" style="2"/>
    <col min="4097" max="4097" width="13.375" style="2" customWidth="1"/>
    <col min="4098" max="4098" width="3.375" style="2" customWidth="1"/>
    <col min="4099" max="4099" width="28.375" style="2" customWidth="1"/>
    <col min="4100" max="4104" width="14.625" style="2"/>
    <col min="4105" max="4106" width="13.375" style="2" customWidth="1"/>
    <col min="4107" max="4352" width="14.625" style="2"/>
    <col min="4353" max="4353" width="13.375" style="2" customWidth="1"/>
    <col min="4354" max="4354" width="3.375" style="2" customWidth="1"/>
    <col min="4355" max="4355" width="28.375" style="2" customWidth="1"/>
    <col min="4356" max="4360" width="14.625" style="2"/>
    <col min="4361" max="4362" width="13.375" style="2" customWidth="1"/>
    <col min="4363" max="4608" width="14.625" style="2"/>
    <col min="4609" max="4609" width="13.375" style="2" customWidth="1"/>
    <col min="4610" max="4610" width="3.375" style="2" customWidth="1"/>
    <col min="4611" max="4611" width="28.375" style="2" customWidth="1"/>
    <col min="4612" max="4616" width="14.625" style="2"/>
    <col min="4617" max="4618" width="13.375" style="2" customWidth="1"/>
    <col min="4619" max="4864" width="14.625" style="2"/>
    <col min="4865" max="4865" width="13.375" style="2" customWidth="1"/>
    <col min="4866" max="4866" width="3.375" style="2" customWidth="1"/>
    <col min="4867" max="4867" width="28.375" style="2" customWidth="1"/>
    <col min="4868" max="4872" width="14.625" style="2"/>
    <col min="4873" max="4874" width="13.375" style="2" customWidth="1"/>
    <col min="4875" max="5120" width="14.625" style="2"/>
    <col min="5121" max="5121" width="13.375" style="2" customWidth="1"/>
    <col min="5122" max="5122" width="3.375" style="2" customWidth="1"/>
    <col min="5123" max="5123" width="28.375" style="2" customWidth="1"/>
    <col min="5124" max="5128" width="14.625" style="2"/>
    <col min="5129" max="5130" width="13.375" style="2" customWidth="1"/>
    <col min="5131" max="5376" width="14.625" style="2"/>
    <col min="5377" max="5377" width="13.375" style="2" customWidth="1"/>
    <col min="5378" max="5378" width="3.375" style="2" customWidth="1"/>
    <col min="5379" max="5379" width="28.375" style="2" customWidth="1"/>
    <col min="5380" max="5384" width="14.625" style="2"/>
    <col min="5385" max="5386" width="13.375" style="2" customWidth="1"/>
    <col min="5387" max="5632" width="14.625" style="2"/>
    <col min="5633" max="5633" width="13.375" style="2" customWidth="1"/>
    <col min="5634" max="5634" width="3.375" style="2" customWidth="1"/>
    <col min="5635" max="5635" width="28.375" style="2" customWidth="1"/>
    <col min="5636" max="5640" width="14.625" style="2"/>
    <col min="5641" max="5642" width="13.375" style="2" customWidth="1"/>
    <col min="5643" max="5888" width="14.625" style="2"/>
    <col min="5889" max="5889" width="13.375" style="2" customWidth="1"/>
    <col min="5890" max="5890" width="3.375" style="2" customWidth="1"/>
    <col min="5891" max="5891" width="28.375" style="2" customWidth="1"/>
    <col min="5892" max="5896" width="14.625" style="2"/>
    <col min="5897" max="5898" width="13.375" style="2" customWidth="1"/>
    <col min="5899" max="6144" width="14.625" style="2"/>
    <col min="6145" max="6145" width="13.375" style="2" customWidth="1"/>
    <col min="6146" max="6146" width="3.375" style="2" customWidth="1"/>
    <col min="6147" max="6147" width="28.375" style="2" customWidth="1"/>
    <col min="6148" max="6152" width="14.625" style="2"/>
    <col min="6153" max="6154" width="13.375" style="2" customWidth="1"/>
    <col min="6155" max="6400" width="14.625" style="2"/>
    <col min="6401" max="6401" width="13.375" style="2" customWidth="1"/>
    <col min="6402" max="6402" width="3.375" style="2" customWidth="1"/>
    <col min="6403" max="6403" width="28.375" style="2" customWidth="1"/>
    <col min="6404" max="6408" width="14.625" style="2"/>
    <col min="6409" max="6410" width="13.375" style="2" customWidth="1"/>
    <col min="6411" max="6656" width="14.625" style="2"/>
    <col min="6657" max="6657" width="13.375" style="2" customWidth="1"/>
    <col min="6658" max="6658" width="3.375" style="2" customWidth="1"/>
    <col min="6659" max="6659" width="28.375" style="2" customWidth="1"/>
    <col min="6660" max="6664" width="14.625" style="2"/>
    <col min="6665" max="6666" width="13.375" style="2" customWidth="1"/>
    <col min="6667" max="6912" width="14.625" style="2"/>
    <col min="6913" max="6913" width="13.375" style="2" customWidth="1"/>
    <col min="6914" max="6914" width="3.375" style="2" customWidth="1"/>
    <col min="6915" max="6915" width="28.375" style="2" customWidth="1"/>
    <col min="6916" max="6920" width="14.625" style="2"/>
    <col min="6921" max="6922" width="13.375" style="2" customWidth="1"/>
    <col min="6923" max="7168" width="14.625" style="2"/>
    <col min="7169" max="7169" width="13.375" style="2" customWidth="1"/>
    <col min="7170" max="7170" width="3.375" style="2" customWidth="1"/>
    <col min="7171" max="7171" width="28.375" style="2" customWidth="1"/>
    <col min="7172" max="7176" width="14.625" style="2"/>
    <col min="7177" max="7178" width="13.375" style="2" customWidth="1"/>
    <col min="7179" max="7424" width="14.625" style="2"/>
    <col min="7425" max="7425" width="13.375" style="2" customWidth="1"/>
    <col min="7426" max="7426" width="3.375" style="2" customWidth="1"/>
    <col min="7427" max="7427" width="28.375" style="2" customWidth="1"/>
    <col min="7428" max="7432" width="14.625" style="2"/>
    <col min="7433" max="7434" width="13.375" style="2" customWidth="1"/>
    <col min="7435" max="7680" width="14.625" style="2"/>
    <col min="7681" max="7681" width="13.375" style="2" customWidth="1"/>
    <col min="7682" max="7682" width="3.375" style="2" customWidth="1"/>
    <col min="7683" max="7683" width="28.375" style="2" customWidth="1"/>
    <col min="7684" max="7688" width="14.625" style="2"/>
    <col min="7689" max="7690" width="13.375" style="2" customWidth="1"/>
    <col min="7691" max="7936" width="14.625" style="2"/>
    <col min="7937" max="7937" width="13.375" style="2" customWidth="1"/>
    <col min="7938" max="7938" width="3.375" style="2" customWidth="1"/>
    <col min="7939" max="7939" width="28.375" style="2" customWidth="1"/>
    <col min="7940" max="7944" width="14.625" style="2"/>
    <col min="7945" max="7946" width="13.375" style="2" customWidth="1"/>
    <col min="7947" max="8192" width="14.625" style="2"/>
    <col min="8193" max="8193" width="13.375" style="2" customWidth="1"/>
    <col min="8194" max="8194" width="3.375" style="2" customWidth="1"/>
    <col min="8195" max="8195" width="28.375" style="2" customWidth="1"/>
    <col min="8196" max="8200" width="14.625" style="2"/>
    <col min="8201" max="8202" width="13.375" style="2" customWidth="1"/>
    <col min="8203" max="8448" width="14.625" style="2"/>
    <col min="8449" max="8449" width="13.375" style="2" customWidth="1"/>
    <col min="8450" max="8450" width="3.375" style="2" customWidth="1"/>
    <col min="8451" max="8451" width="28.375" style="2" customWidth="1"/>
    <col min="8452" max="8456" width="14.625" style="2"/>
    <col min="8457" max="8458" width="13.375" style="2" customWidth="1"/>
    <col min="8459" max="8704" width="14.625" style="2"/>
    <col min="8705" max="8705" width="13.375" style="2" customWidth="1"/>
    <col min="8706" max="8706" width="3.375" style="2" customWidth="1"/>
    <col min="8707" max="8707" width="28.375" style="2" customWidth="1"/>
    <col min="8708" max="8712" width="14.625" style="2"/>
    <col min="8713" max="8714" width="13.375" style="2" customWidth="1"/>
    <col min="8715" max="8960" width="14.625" style="2"/>
    <col min="8961" max="8961" width="13.375" style="2" customWidth="1"/>
    <col min="8962" max="8962" width="3.375" style="2" customWidth="1"/>
    <col min="8963" max="8963" width="28.375" style="2" customWidth="1"/>
    <col min="8964" max="8968" width="14.625" style="2"/>
    <col min="8969" max="8970" width="13.375" style="2" customWidth="1"/>
    <col min="8971" max="9216" width="14.625" style="2"/>
    <col min="9217" max="9217" width="13.375" style="2" customWidth="1"/>
    <col min="9218" max="9218" width="3.375" style="2" customWidth="1"/>
    <col min="9219" max="9219" width="28.375" style="2" customWidth="1"/>
    <col min="9220" max="9224" width="14.625" style="2"/>
    <col min="9225" max="9226" width="13.375" style="2" customWidth="1"/>
    <col min="9227" max="9472" width="14.625" style="2"/>
    <col min="9473" max="9473" width="13.375" style="2" customWidth="1"/>
    <col min="9474" max="9474" width="3.375" style="2" customWidth="1"/>
    <col min="9475" max="9475" width="28.375" style="2" customWidth="1"/>
    <col min="9476" max="9480" width="14.625" style="2"/>
    <col min="9481" max="9482" width="13.375" style="2" customWidth="1"/>
    <col min="9483" max="9728" width="14.625" style="2"/>
    <col min="9729" max="9729" width="13.375" style="2" customWidth="1"/>
    <col min="9730" max="9730" width="3.375" style="2" customWidth="1"/>
    <col min="9731" max="9731" width="28.375" style="2" customWidth="1"/>
    <col min="9732" max="9736" width="14.625" style="2"/>
    <col min="9737" max="9738" width="13.375" style="2" customWidth="1"/>
    <col min="9739" max="9984" width="14.625" style="2"/>
    <col min="9985" max="9985" width="13.375" style="2" customWidth="1"/>
    <col min="9986" max="9986" width="3.375" style="2" customWidth="1"/>
    <col min="9987" max="9987" width="28.375" style="2" customWidth="1"/>
    <col min="9988" max="9992" width="14.625" style="2"/>
    <col min="9993" max="9994" width="13.375" style="2" customWidth="1"/>
    <col min="9995" max="10240" width="14.625" style="2"/>
    <col min="10241" max="10241" width="13.375" style="2" customWidth="1"/>
    <col min="10242" max="10242" width="3.375" style="2" customWidth="1"/>
    <col min="10243" max="10243" width="28.375" style="2" customWidth="1"/>
    <col min="10244" max="10248" width="14.625" style="2"/>
    <col min="10249" max="10250" width="13.375" style="2" customWidth="1"/>
    <col min="10251" max="10496" width="14.625" style="2"/>
    <col min="10497" max="10497" width="13.375" style="2" customWidth="1"/>
    <col min="10498" max="10498" width="3.375" style="2" customWidth="1"/>
    <col min="10499" max="10499" width="28.375" style="2" customWidth="1"/>
    <col min="10500" max="10504" width="14.625" style="2"/>
    <col min="10505" max="10506" width="13.375" style="2" customWidth="1"/>
    <col min="10507" max="10752" width="14.625" style="2"/>
    <col min="10753" max="10753" width="13.375" style="2" customWidth="1"/>
    <col min="10754" max="10754" width="3.375" style="2" customWidth="1"/>
    <col min="10755" max="10755" width="28.375" style="2" customWidth="1"/>
    <col min="10756" max="10760" width="14.625" style="2"/>
    <col min="10761" max="10762" width="13.375" style="2" customWidth="1"/>
    <col min="10763" max="11008" width="14.625" style="2"/>
    <col min="11009" max="11009" width="13.375" style="2" customWidth="1"/>
    <col min="11010" max="11010" width="3.375" style="2" customWidth="1"/>
    <col min="11011" max="11011" width="28.375" style="2" customWidth="1"/>
    <col min="11012" max="11016" width="14.625" style="2"/>
    <col min="11017" max="11018" width="13.375" style="2" customWidth="1"/>
    <col min="11019" max="11264" width="14.625" style="2"/>
    <col min="11265" max="11265" width="13.375" style="2" customWidth="1"/>
    <col min="11266" max="11266" width="3.375" style="2" customWidth="1"/>
    <col min="11267" max="11267" width="28.375" style="2" customWidth="1"/>
    <col min="11268" max="11272" width="14.625" style="2"/>
    <col min="11273" max="11274" width="13.375" style="2" customWidth="1"/>
    <col min="11275" max="11520" width="14.625" style="2"/>
    <col min="11521" max="11521" width="13.375" style="2" customWidth="1"/>
    <col min="11522" max="11522" width="3.375" style="2" customWidth="1"/>
    <col min="11523" max="11523" width="28.375" style="2" customWidth="1"/>
    <col min="11524" max="11528" width="14.625" style="2"/>
    <col min="11529" max="11530" width="13.375" style="2" customWidth="1"/>
    <col min="11531" max="11776" width="14.625" style="2"/>
    <col min="11777" max="11777" width="13.375" style="2" customWidth="1"/>
    <col min="11778" max="11778" width="3.375" style="2" customWidth="1"/>
    <col min="11779" max="11779" width="28.375" style="2" customWidth="1"/>
    <col min="11780" max="11784" width="14.625" style="2"/>
    <col min="11785" max="11786" width="13.375" style="2" customWidth="1"/>
    <col min="11787" max="12032" width="14.625" style="2"/>
    <col min="12033" max="12033" width="13.375" style="2" customWidth="1"/>
    <col min="12034" max="12034" width="3.375" style="2" customWidth="1"/>
    <col min="12035" max="12035" width="28.375" style="2" customWidth="1"/>
    <col min="12036" max="12040" width="14.625" style="2"/>
    <col min="12041" max="12042" width="13.375" style="2" customWidth="1"/>
    <col min="12043" max="12288" width="14.625" style="2"/>
    <col min="12289" max="12289" width="13.375" style="2" customWidth="1"/>
    <col min="12290" max="12290" width="3.375" style="2" customWidth="1"/>
    <col min="12291" max="12291" width="28.375" style="2" customWidth="1"/>
    <col min="12292" max="12296" width="14.625" style="2"/>
    <col min="12297" max="12298" width="13.375" style="2" customWidth="1"/>
    <col min="12299" max="12544" width="14.625" style="2"/>
    <col min="12545" max="12545" width="13.375" style="2" customWidth="1"/>
    <col min="12546" max="12546" width="3.375" style="2" customWidth="1"/>
    <col min="12547" max="12547" width="28.375" style="2" customWidth="1"/>
    <col min="12548" max="12552" width="14.625" style="2"/>
    <col min="12553" max="12554" width="13.375" style="2" customWidth="1"/>
    <col min="12555" max="12800" width="14.625" style="2"/>
    <col min="12801" max="12801" width="13.375" style="2" customWidth="1"/>
    <col min="12802" max="12802" width="3.375" style="2" customWidth="1"/>
    <col min="12803" max="12803" width="28.375" style="2" customWidth="1"/>
    <col min="12804" max="12808" width="14.625" style="2"/>
    <col min="12809" max="12810" width="13.375" style="2" customWidth="1"/>
    <col min="12811" max="13056" width="14.625" style="2"/>
    <col min="13057" max="13057" width="13.375" style="2" customWidth="1"/>
    <col min="13058" max="13058" width="3.375" style="2" customWidth="1"/>
    <col min="13059" max="13059" width="28.375" style="2" customWidth="1"/>
    <col min="13060" max="13064" width="14.625" style="2"/>
    <col min="13065" max="13066" width="13.375" style="2" customWidth="1"/>
    <col min="13067" max="13312" width="14.625" style="2"/>
    <col min="13313" max="13313" width="13.375" style="2" customWidth="1"/>
    <col min="13314" max="13314" width="3.375" style="2" customWidth="1"/>
    <col min="13315" max="13315" width="28.375" style="2" customWidth="1"/>
    <col min="13316" max="13320" width="14.625" style="2"/>
    <col min="13321" max="13322" width="13.375" style="2" customWidth="1"/>
    <col min="13323" max="13568" width="14.625" style="2"/>
    <col min="13569" max="13569" width="13.375" style="2" customWidth="1"/>
    <col min="13570" max="13570" width="3.375" style="2" customWidth="1"/>
    <col min="13571" max="13571" width="28.375" style="2" customWidth="1"/>
    <col min="13572" max="13576" width="14.625" style="2"/>
    <col min="13577" max="13578" width="13.375" style="2" customWidth="1"/>
    <col min="13579" max="13824" width="14.625" style="2"/>
    <col min="13825" max="13825" width="13.375" style="2" customWidth="1"/>
    <col min="13826" max="13826" width="3.375" style="2" customWidth="1"/>
    <col min="13827" max="13827" width="28.375" style="2" customWidth="1"/>
    <col min="13828" max="13832" width="14.625" style="2"/>
    <col min="13833" max="13834" width="13.375" style="2" customWidth="1"/>
    <col min="13835" max="14080" width="14.625" style="2"/>
    <col min="14081" max="14081" width="13.375" style="2" customWidth="1"/>
    <col min="14082" max="14082" width="3.375" style="2" customWidth="1"/>
    <col min="14083" max="14083" width="28.375" style="2" customWidth="1"/>
    <col min="14084" max="14088" width="14.625" style="2"/>
    <col min="14089" max="14090" width="13.375" style="2" customWidth="1"/>
    <col min="14091" max="14336" width="14.625" style="2"/>
    <col min="14337" max="14337" width="13.375" style="2" customWidth="1"/>
    <col min="14338" max="14338" width="3.375" style="2" customWidth="1"/>
    <col min="14339" max="14339" width="28.375" style="2" customWidth="1"/>
    <col min="14340" max="14344" width="14.625" style="2"/>
    <col min="14345" max="14346" width="13.375" style="2" customWidth="1"/>
    <col min="14347" max="14592" width="14.625" style="2"/>
    <col min="14593" max="14593" width="13.375" style="2" customWidth="1"/>
    <col min="14594" max="14594" width="3.375" style="2" customWidth="1"/>
    <col min="14595" max="14595" width="28.375" style="2" customWidth="1"/>
    <col min="14596" max="14600" width="14.625" style="2"/>
    <col min="14601" max="14602" width="13.375" style="2" customWidth="1"/>
    <col min="14603" max="14848" width="14.625" style="2"/>
    <col min="14849" max="14849" width="13.375" style="2" customWidth="1"/>
    <col min="14850" max="14850" width="3.375" style="2" customWidth="1"/>
    <col min="14851" max="14851" width="28.375" style="2" customWidth="1"/>
    <col min="14852" max="14856" width="14.625" style="2"/>
    <col min="14857" max="14858" width="13.375" style="2" customWidth="1"/>
    <col min="14859" max="15104" width="14.625" style="2"/>
    <col min="15105" max="15105" width="13.375" style="2" customWidth="1"/>
    <col min="15106" max="15106" width="3.375" style="2" customWidth="1"/>
    <col min="15107" max="15107" width="28.375" style="2" customWidth="1"/>
    <col min="15108" max="15112" width="14.625" style="2"/>
    <col min="15113" max="15114" width="13.375" style="2" customWidth="1"/>
    <col min="15115" max="15360" width="14.625" style="2"/>
    <col min="15361" max="15361" width="13.375" style="2" customWidth="1"/>
    <col min="15362" max="15362" width="3.375" style="2" customWidth="1"/>
    <col min="15363" max="15363" width="28.375" style="2" customWidth="1"/>
    <col min="15364" max="15368" width="14.625" style="2"/>
    <col min="15369" max="15370" width="13.375" style="2" customWidth="1"/>
    <col min="15371" max="15616" width="14.625" style="2"/>
    <col min="15617" max="15617" width="13.375" style="2" customWidth="1"/>
    <col min="15618" max="15618" width="3.375" style="2" customWidth="1"/>
    <col min="15619" max="15619" width="28.375" style="2" customWidth="1"/>
    <col min="15620" max="15624" width="14.625" style="2"/>
    <col min="15625" max="15626" width="13.375" style="2" customWidth="1"/>
    <col min="15627" max="15872" width="14.625" style="2"/>
    <col min="15873" max="15873" width="13.375" style="2" customWidth="1"/>
    <col min="15874" max="15874" width="3.375" style="2" customWidth="1"/>
    <col min="15875" max="15875" width="28.375" style="2" customWidth="1"/>
    <col min="15876" max="15880" width="14.625" style="2"/>
    <col min="15881" max="15882" width="13.375" style="2" customWidth="1"/>
    <col min="15883" max="16128" width="14.625" style="2"/>
    <col min="16129" max="16129" width="13.375" style="2" customWidth="1"/>
    <col min="16130" max="16130" width="3.375" style="2" customWidth="1"/>
    <col min="16131" max="16131" width="28.375" style="2" customWidth="1"/>
    <col min="16132" max="16136" width="14.625" style="2"/>
    <col min="16137" max="16138" width="13.375" style="2" customWidth="1"/>
    <col min="16139" max="16384" width="14.625" style="2"/>
  </cols>
  <sheetData>
    <row r="1" spans="1:11" x14ac:dyDescent="0.2">
      <c r="A1" s="1"/>
    </row>
    <row r="6" spans="1:11" x14ac:dyDescent="0.2">
      <c r="D6" s="4" t="s">
        <v>71</v>
      </c>
      <c r="J6" s="24"/>
    </row>
    <row r="7" spans="1:11" ht="18" thickBot="1" x14ac:dyDescent="0.25">
      <c r="B7" s="5"/>
      <c r="C7" s="5"/>
      <c r="D7" s="6" t="s">
        <v>72</v>
      </c>
      <c r="E7" s="5"/>
      <c r="F7" s="5"/>
      <c r="G7" s="5"/>
      <c r="H7" s="5"/>
      <c r="I7" s="6" t="s">
        <v>73</v>
      </c>
      <c r="J7" s="5"/>
      <c r="K7" s="24"/>
    </row>
    <row r="8" spans="1:11" x14ac:dyDescent="0.2">
      <c r="D8" s="9" t="s">
        <v>74</v>
      </c>
      <c r="E8" s="9" t="s">
        <v>75</v>
      </c>
      <c r="F8" s="9" t="s">
        <v>76</v>
      </c>
      <c r="G8" s="25">
        <v>1999</v>
      </c>
      <c r="H8" s="25" t="s">
        <v>77</v>
      </c>
      <c r="I8" s="25" t="s">
        <v>78</v>
      </c>
      <c r="J8" s="25" t="s">
        <v>79</v>
      </c>
      <c r="K8" s="24"/>
    </row>
    <row r="9" spans="1:11" x14ac:dyDescent="0.2">
      <c r="B9" s="10"/>
      <c r="C9" s="26" t="s">
        <v>80</v>
      </c>
      <c r="D9" s="27" t="s">
        <v>81</v>
      </c>
      <c r="E9" s="12" t="s">
        <v>82</v>
      </c>
      <c r="F9" s="12" t="s">
        <v>83</v>
      </c>
      <c r="G9" s="12" t="s">
        <v>84</v>
      </c>
      <c r="H9" s="12" t="s">
        <v>85</v>
      </c>
      <c r="I9" s="12" t="s">
        <v>86</v>
      </c>
      <c r="J9" s="12" t="s">
        <v>87</v>
      </c>
      <c r="K9" s="24"/>
    </row>
    <row r="10" spans="1:11" x14ac:dyDescent="0.2">
      <c r="D10" s="7"/>
      <c r="G10" s="24"/>
      <c r="H10" s="24"/>
      <c r="K10" s="24"/>
    </row>
    <row r="11" spans="1:11" x14ac:dyDescent="0.2">
      <c r="C11" s="4" t="s">
        <v>88</v>
      </c>
      <c r="D11" s="14">
        <f t="shared" ref="D11:J11" si="0">D13+D48</f>
        <v>24938.099000000002</v>
      </c>
      <c r="E11" s="15">
        <f t="shared" si="0"/>
        <v>35405.030099999996</v>
      </c>
      <c r="F11" s="15">
        <f t="shared" si="0"/>
        <v>41407.099000000002</v>
      </c>
      <c r="G11" s="28">
        <f>G13+G48</f>
        <v>31424.467000000004</v>
      </c>
      <c r="H11" s="28">
        <f>H13+H48</f>
        <v>27869.774999999998</v>
      </c>
      <c r="I11" s="29">
        <f>I13+I48</f>
        <v>31992.932999999997</v>
      </c>
      <c r="J11" s="29">
        <f t="shared" si="0"/>
        <v>40313.324000000001</v>
      </c>
      <c r="K11" s="24"/>
    </row>
    <row r="12" spans="1:11" x14ac:dyDescent="0.2">
      <c r="D12" s="7"/>
      <c r="G12" s="24"/>
      <c r="H12" s="24"/>
      <c r="K12" s="24"/>
    </row>
    <row r="13" spans="1:11" x14ac:dyDescent="0.2">
      <c r="B13" s="4" t="s">
        <v>89</v>
      </c>
      <c r="C13" s="15"/>
      <c r="D13" s="14">
        <f t="shared" ref="D13:J13" si="1">SUM(D15:D46)</f>
        <v>4121.616</v>
      </c>
      <c r="E13" s="15">
        <f t="shared" si="1"/>
        <v>5374.5901000000003</v>
      </c>
      <c r="F13" s="15">
        <f t="shared" si="1"/>
        <v>6425.6149999999998</v>
      </c>
      <c r="G13" s="28">
        <f>SUM(G15:G46)</f>
        <v>6485.8880000000017</v>
      </c>
      <c r="H13" s="28">
        <f>SUM(H15:H46)</f>
        <v>6190.9609999999993</v>
      </c>
      <c r="I13" s="29">
        <f>SUM(I15:I46)</f>
        <v>5907.26</v>
      </c>
      <c r="J13" s="29">
        <f t="shared" si="1"/>
        <v>9439.3009999999995</v>
      </c>
      <c r="K13" s="24"/>
    </row>
    <row r="14" spans="1:11" x14ac:dyDescent="0.2">
      <c r="D14" s="7"/>
      <c r="G14" s="24"/>
      <c r="H14" s="24"/>
      <c r="K14" s="24"/>
    </row>
    <row r="15" spans="1:11" x14ac:dyDescent="0.2">
      <c r="C15" s="1" t="s">
        <v>90</v>
      </c>
      <c r="D15" s="16">
        <v>312.00099999999998</v>
      </c>
      <c r="E15" s="3">
        <v>507.29</v>
      </c>
      <c r="F15" s="3">
        <v>784.72500000000002</v>
      </c>
      <c r="G15" s="30">
        <v>751.32</v>
      </c>
      <c r="H15" s="30">
        <v>708.37699999999995</v>
      </c>
      <c r="I15" s="2">
        <v>766.89</v>
      </c>
      <c r="J15" s="2">
        <v>663.25300000000004</v>
      </c>
      <c r="K15" s="24"/>
    </row>
    <row r="16" spans="1:11" x14ac:dyDescent="0.2">
      <c r="C16" s="1" t="s">
        <v>91</v>
      </c>
      <c r="D16" s="16">
        <v>52.75</v>
      </c>
      <c r="E16" s="3">
        <v>81.471000000000004</v>
      </c>
      <c r="F16" s="3">
        <v>106.044</v>
      </c>
      <c r="G16" s="30">
        <v>146.44900000000001</v>
      </c>
      <c r="H16" s="30">
        <v>145.88300000000001</v>
      </c>
      <c r="I16" s="2">
        <v>128.83199999999999</v>
      </c>
      <c r="J16" s="2">
        <v>169.226</v>
      </c>
      <c r="K16" s="24"/>
    </row>
    <row r="17" spans="3:11" x14ac:dyDescent="0.2">
      <c r="C17" s="1" t="s">
        <v>92</v>
      </c>
      <c r="D17" s="16">
        <v>61.183999999999997</v>
      </c>
      <c r="E17" s="3">
        <v>67.921000000000006</v>
      </c>
      <c r="F17" s="3">
        <v>166.62899999999999</v>
      </c>
      <c r="G17" s="30">
        <v>181.53100000000001</v>
      </c>
      <c r="H17" s="30">
        <v>170.179</v>
      </c>
      <c r="I17" s="2">
        <v>169.08099999999999</v>
      </c>
      <c r="J17" s="2">
        <v>1112.027</v>
      </c>
      <c r="K17" s="24"/>
    </row>
    <row r="18" spans="3:11" x14ac:dyDescent="0.2">
      <c r="D18" s="16"/>
      <c r="E18" s="3"/>
      <c r="F18" s="3"/>
      <c r="G18" s="24"/>
      <c r="H18" s="24"/>
      <c r="K18" s="24"/>
    </row>
    <row r="19" spans="3:11" x14ac:dyDescent="0.2">
      <c r="C19" s="1" t="s">
        <v>93</v>
      </c>
      <c r="D19" s="16">
        <v>31.268000000000001</v>
      </c>
      <c r="E19" s="3">
        <v>41.134</v>
      </c>
      <c r="F19" s="3">
        <v>47.637999999999998</v>
      </c>
      <c r="G19" s="30">
        <v>39.991</v>
      </c>
      <c r="H19" s="30">
        <v>32.082000000000001</v>
      </c>
      <c r="I19" s="2">
        <v>33.244</v>
      </c>
      <c r="J19" s="2">
        <v>33.404000000000003</v>
      </c>
      <c r="K19" s="24"/>
    </row>
    <row r="20" spans="3:11" x14ac:dyDescent="0.2">
      <c r="C20" s="1" t="s">
        <v>94</v>
      </c>
      <c r="D20" s="16">
        <v>92.888000000000005</v>
      </c>
      <c r="E20" s="3">
        <v>175.023</v>
      </c>
      <c r="F20" s="3">
        <v>57.091999999999999</v>
      </c>
      <c r="G20" s="30">
        <v>109.548</v>
      </c>
      <c r="H20" s="30">
        <v>91.721000000000004</v>
      </c>
      <c r="I20" s="2">
        <v>86.176000000000002</v>
      </c>
      <c r="J20" s="2">
        <v>1035.6790000000001</v>
      </c>
      <c r="K20" s="24"/>
    </row>
    <row r="21" spans="3:11" x14ac:dyDescent="0.2">
      <c r="C21" s="1" t="s">
        <v>95</v>
      </c>
      <c r="D21" s="16">
        <v>175.06700000000001</v>
      </c>
      <c r="E21" s="3">
        <v>298.57799999999997</v>
      </c>
      <c r="F21" s="3">
        <v>213.73599999999999</v>
      </c>
      <c r="G21" s="30">
        <v>262.274</v>
      </c>
      <c r="H21" s="30">
        <v>251.31800000000001</v>
      </c>
      <c r="I21" s="2">
        <v>175.286</v>
      </c>
      <c r="J21" s="2">
        <v>212.048</v>
      </c>
      <c r="K21" s="24"/>
    </row>
    <row r="22" spans="3:11" x14ac:dyDescent="0.2">
      <c r="D22" s="16"/>
      <c r="E22" s="3"/>
      <c r="F22" s="3"/>
      <c r="G22" s="24"/>
      <c r="H22" s="24"/>
      <c r="K22" s="24"/>
    </row>
    <row r="23" spans="3:11" x14ac:dyDescent="0.2">
      <c r="C23" s="1" t="s">
        <v>96</v>
      </c>
      <c r="D23" s="16">
        <v>467.36799999999999</v>
      </c>
      <c r="E23" s="3">
        <v>639.57399999999996</v>
      </c>
      <c r="F23" s="3">
        <v>696.67</v>
      </c>
      <c r="G23" s="30">
        <v>777.30700000000002</v>
      </c>
      <c r="H23" s="30">
        <v>784.79499999999996</v>
      </c>
      <c r="I23" s="2">
        <v>785.23</v>
      </c>
      <c r="J23" s="2">
        <v>1086.248</v>
      </c>
      <c r="K23" s="24"/>
    </row>
    <row r="24" spans="3:11" x14ac:dyDescent="0.2">
      <c r="C24" s="1" t="s">
        <v>97</v>
      </c>
      <c r="D24" s="16">
        <v>1.8</v>
      </c>
      <c r="E24" s="3">
        <v>1E-4</v>
      </c>
      <c r="F24" s="3">
        <v>0.5</v>
      </c>
      <c r="G24" s="30">
        <v>2.8</v>
      </c>
      <c r="H24" s="30">
        <v>2.242</v>
      </c>
      <c r="I24" s="2">
        <v>2.2320000000000002</v>
      </c>
      <c r="J24" s="2">
        <v>2.242</v>
      </c>
      <c r="K24" s="24"/>
    </row>
    <row r="25" spans="3:11" x14ac:dyDescent="0.2">
      <c r="C25" s="1" t="s">
        <v>98</v>
      </c>
      <c r="D25" s="16">
        <v>62.344999999999999</v>
      </c>
      <c r="E25" s="3">
        <v>57.689</v>
      </c>
      <c r="F25" s="3">
        <v>60.587000000000003</v>
      </c>
      <c r="G25" s="30">
        <v>47.701999999999998</v>
      </c>
      <c r="H25" s="30">
        <v>51</v>
      </c>
      <c r="I25" s="2">
        <v>48.429000000000002</v>
      </c>
      <c r="J25" s="2">
        <v>46.072000000000003</v>
      </c>
      <c r="K25" s="24"/>
    </row>
    <row r="26" spans="3:11" x14ac:dyDescent="0.2">
      <c r="D26" s="16"/>
      <c r="E26" s="3"/>
      <c r="F26" s="3"/>
      <c r="G26" s="24"/>
      <c r="H26" s="24"/>
      <c r="K26" s="24"/>
    </row>
    <row r="27" spans="3:11" x14ac:dyDescent="0.2">
      <c r="C27" s="1" t="s">
        <v>99</v>
      </c>
      <c r="D27" s="16">
        <v>781.23699999999997</v>
      </c>
      <c r="E27" s="3">
        <v>646.01099999999997</v>
      </c>
      <c r="F27" s="3">
        <v>843.649</v>
      </c>
      <c r="G27" s="30">
        <v>1476.046</v>
      </c>
      <c r="H27" s="30">
        <v>1353.615</v>
      </c>
      <c r="I27" s="2">
        <v>1270.7850000000001</v>
      </c>
      <c r="J27" s="2">
        <v>2248.3009999999999</v>
      </c>
      <c r="K27" s="24"/>
    </row>
    <row r="28" spans="3:11" x14ac:dyDescent="0.2">
      <c r="C28" s="1" t="s">
        <v>100</v>
      </c>
      <c r="D28" s="16">
        <v>23.867000000000001</v>
      </c>
      <c r="E28" s="3">
        <v>156.369</v>
      </c>
      <c r="F28" s="3">
        <v>87.430999999999997</v>
      </c>
      <c r="G28" s="30">
        <v>62.031999999999996</v>
      </c>
      <c r="H28" s="30">
        <v>34.069000000000003</v>
      </c>
      <c r="I28" s="2">
        <v>33.212000000000003</v>
      </c>
      <c r="J28" s="2">
        <v>36.357999999999997</v>
      </c>
      <c r="K28" s="24"/>
    </row>
    <row r="29" spans="3:11" x14ac:dyDescent="0.2">
      <c r="C29" s="1" t="s">
        <v>101</v>
      </c>
      <c r="D29" s="16">
        <v>158.976</v>
      </c>
      <c r="E29" s="3">
        <v>215.34800000000001</v>
      </c>
      <c r="F29" s="3">
        <v>317.92</v>
      </c>
      <c r="G29" s="30">
        <v>321.43400000000003</v>
      </c>
      <c r="H29" s="30">
        <v>313.25200000000001</v>
      </c>
      <c r="I29" s="2">
        <v>286.42700000000002</v>
      </c>
      <c r="J29" s="2">
        <v>307.96499999999997</v>
      </c>
      <c r="K29" s="24"/>
    </row>
    <row r="30" spans="3:11" x14ac:dyDescent="0.2">
      <c r="D30" s="16"/>
      <c r="E30" s="3"/>
      <c r="F30" s="3"/>
      <c r="G30" s="24"/>
      <c r="H30" s="24"/>
      <c r="K30" s="24"/>
    </row>
    <row r="31" spans="3:11" x14ac:dyDescent="0.2">
      <c r="C31" s="1" t="s">
        <v>102</v>
      </c>
      <c r="D31" s="18" t="s">
        <v>103</v>
      </c>
      <c r="E31" s="3">
        <v>4.5369999999999999</v>
      </c>
      <c r="F31" s="17" t="s">
        <v>38</v>
      </c>
      <c r="G31" s="17" t="s">
        <v>38</v>
      </c>
      <c r="H31" s="17" t="s">
        <v>38</v>
      </c>
      <c r="I31" s="17" t="s">
        <v>38</v>
      </c>
      <c r="J31" s="17" t="s">
        <v>38</v>
      </c>
      <c r="K31" s="24"/>
    </row>
    <row r="32" spans="3:11" x14ac:dyDescent="0.2">
      <c r="C32" s="1" t="s">
        <v>104</v>
      </c>
      <c r="D32" s="16">
        <v>3.8809999999999998</v>
      </c>
      <c r="E32" s="17">
        <v>0</v>
      </c>
      <c r="F32" s="17" t="s">
        <v>38</v>
      </c>
      <c r="G32" s="17" t="s">
        <v>38</v>
      </c>
      <c r="H32" s="17" t="s">
        <v>38</v>
      </c>
      <c r="I32" s="17" t="s">
        <v>38</v>
      </c>
      <c r="J32" s="17" t="s">
        <v>38</v>
      </c>
      <c r="K32" s="24"/>
    </row>
    <row r="33" spans="2:11" x14ac:dyDescent="0.2">
      <c r="C33" s="1" t="s">
        <v>105</v>
      </c>
      <c r="D33" s="16">
        <v>718.90499999999997</v>
      </c>
      <c r="E33" s="3">
        <v>411.822</v>
      </c>
      <c r="F33" s="3">
        <v>496.40100000000001</v>
      </c>
      <c r="G33" s="30">
        <v>175.08600000000001</v>
      </c>
      <c r="H33" s="30">
        <v>166.40700000000001</v>
      </c>
      <c r="I33" s="2">
        <v>113.005</v>
      </c>
      <c r="J33" s="2">
        <v>104.017</v>
      </c>
      <c r="K33" s="24"/>
    </row>
    <row r="34" spans="2:11" x14ac:dyDescent="0.2">
      <c r="D34" s="16"/>
      <c r="E34" s="3"/>
      <c r="F34" s="3"/>
      <c r="G34" s="24"/>
      <c r="H34" s="24"/>
      <c r="K34" s="24"/>
    </row>
    <row r="35" spans="2:11" x14ac:dyDescent="0.2">
      <c r="C35" s="1" t="s">
        <v>106</v>
      </c>
      <c r="D35" s="18" t="s">
        <v>103</v>
      </c>
      <c r="E35" s="3">
        <v>15.628</v>
      </c>
      <c r="F35" s="17" t="s">
        <v>38</v>
      </c>
      <c r="G35" s="17" t="s">
        <v>38</v>
      </c>
      <c r="H35" s="17" t="s">
        <v>38</v>
      </c>
      <c r="I35" s="17" t="s">
        <v>38</v>
      </c>
      <c r="J35" s="17" t="s">
        <v>38</v>
      </c>
      <c r="K35" s="24"/>
    </row>
    <row r="36" spans="2:11" x14ac:dyDescent="0.2">
      <c r="C36" s="1" t="s">
        <v>107</v>
      </c>
      <c r="D36" s="16">
        <v>371.64299999999997</v>
      </c>
      <c r="E36" s="3">
        <v>786.50699999999995</v>
      </c>
      <c r="F36" s="3">
        <v>1145.9269999999999</v>
      </c>
      <c r="G36" s="30">
        <v>362.98399999999998</v>
      </c>
      <c r="H36" s="30">
        <v>328.476</v>
      </c>
      <c r="I36" s="2">
        <v>275.12</v>
      </c>
      <c r="J36" s="2">
        <v>304.101</v>
      </c>
      <c r="K36" s="24"/>
    </row>
    <row r="37" spans="2:11" x14ac:dyDescent="0.2">
      <c r="C37" s="1" t="s">
        <v>108</v>
      </c>
      <c r="D37" s="16">
        <v>621.51800000000003</v>
      </c>
      <c r="E37" s="3">
        <v>906.31899999999996</v>
      </c>
      <c r="F37" s="3">
        <v>947.78200000000004</v>
      </c>
      <c r="G37" s="30">
        <v>939.399</v>
      </c>
      <c r="H37" s="30">
        <v>961.52</v>
      </c>
      <c r="I37" s="2">
        <v>942.51599999999996</v>
      </c>
      <c r="J37" s="2">
        <v>840.84299999999996</v>
      </c>
      <c r="K37" s="24"/>
    </row>
    <row r="38" spans="2:11" x14ac:dyDescent="0.2">
      <c r="D38" s="16"/>
      <c r="E38" s="3"/>
      <c r="F38" s="3"/>
      <c r="G38" s="24"/>
      <c r="H38" s="24"/>
      <c r="K38" s="24"/>
    </row>
    <row r="39" spans="2:11" x14ac:dyDescent="0.2">
      <c r="C39" s="1" t="s">
        <v>109</v>
      </c>
      <c r="D39" s="18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0.76200000000000001</v>
      </c>
      <c r="K39" s="24"/>
    </row>
    <row r="40" spans="2:11" x14ac:dyDescent="0.2">
      <c r="C40" s="1" t="s">
        <v>110</v>
      </c>
      <c r="D40" s="16">
        <v>2.8839999999999999</v>
      </c>
      <c r="E40" s="3">
        <v>53.018999999999998</v>
      </c>
      <c r="F40" s="3">
        <v>67.013000000000005</v>
      </c>
      <c r="G40" s="30">
        <v>127.11</v>
      </c>
      <c r="H40" s="30">
        <v>130.012</v>
      </c>
      <c r="I40" s="2">
        <v>113.71899999999999</v>
      </c>
      <c r="J40" s="2">
        <v>428.24299999999999</v>
      </c>
      <c r="K40" s="24"/>
    </row>
    <row r="41" spans="2:11" x14ac:dyDescent="0.2">
      <c r="C41" s="1" t="s">
        <v>111</v>
      </c>
      <c r="D41" s="16">
        <v>99.614000000000004</v>
      </c>
      <c r="E41" s="3">
        <v>130.494</v>
      </c>
      <c r="F41" s="3">
        <v>38.838000000000001</v>
      </c>
      <c r="G41" s="30">
        <v>126.179</v>
      </c>
      <c r="H41" s="30">
        <v>120.497</v>
      </c>
      <c r="I41" s="2">
        <v>125.462</v>
      </c>
      <c r="J41" s="2">
        <v>101.711</v>
      </c>
      <c r="K41" s="24"/>
    </row>
    <row r="42" spans="2:11" x14ac:dyDescent="0.2">
      <c r="D42" s="16"/>
      <c r="E42" s="3"/>
      <c r="F42" s="3"/>
      <c r="G42" s="24"/>
      <c r="H42" s="24"/>
      <c r="K42" s="24"/>
    </row>
    <row r="43" spans="2:11" x14ac:dyDescent="0.2">
      <c r="C43" s="1" t="s">
        <v>112</v>
      </c>
      <c r="D43" s="18" t="s">
        <v>38</v>
      </c>
      <c r="E43" s="17" t="s">
        <v>38</v>
      </c>
      <c r="F43" s="17" t="s">
        <v>38</v>
      </c>
      <c r="G43" s="24">
        <v>0</v>
      </c>
      <c r="H43" s="24">
        <v>0</v>
      </c>
      <c r="I43" s="2">
        <v>0</v>
      </c>
      <c r="J43" s="2">
        <v>163.19399999999999</v>
      </c>
      <c r="K43" s="24"/>
    </row>
    <row r="44" spans="2:11" x14ac:dyDescent="0.2">
      <c r="C44" s="1" t="s">
        <v>113</v>
      </c>
      <c r="D44" s="18" t="s">
        <v>38</v>
      </c>
      <c r="E44" s="17" t="s">
        <v>38</v>
      </c>
      <c r="F44" s="17" t="s">
        <v>38</v>
      </c>
      <c r="G44" s="31">
        <v>0</v>
      </c>
      <c r="H44" s="31">
        <v>0</v>
      </c>
      <c r="I44" s="2">
        <v>0</v>
      </c>
      <c r="J44" s="2">
        <v>17.977</v>
      </c>
      <c r="K44" s="24"/>
    </row>
    <row r="45" spans="2:11" x14ac:dyDescent="0.2">
      <c r="C45" s="1" t="s">
        <v>114</v>
      </c>
      <c r="D45" s="18" t="s">
        <v>103</v>
      </c>
      <c r="E45" s="3">
        <v>120.839</v>
      </c>
      <c r="F45" s="3">
        <v>196.447</v>
      </c>
      <c r="G45" s="30">
        <v>212.875</v>
      </c>
      <c r="H45" s="30">
        <v>177.922</v>
      </c>
      <c r="I45" s="2">
        <v>193.29599999999999</v>
      </c>
      <c r="J45" s="2">
        <v>171.21899999999999</v>
      </c>
      <c r="K45" s="24"/>
    </row>
    <row r="46" spans="2:11" x14ac:dyDescent="0.2">
      <c r="C46" s="1" t="s">
        <v>115</v>
      </c>
      <c r="D46" s="16">
        <v>82.42</v>
      </c>
      <c r="E46" s="3">
        <v>59.017000000000003</v>
      </c>
      <c r="F46" s="3">
        <v>150.58600000000001</v>
      </c>
      <c r="G46" s="30">
        <v>363.82100000000003</v>
      </c>
      <c r="H46" s="30">
        <v>367.59399999999999</v>
      </c>
      <c r="I46" s="2">
        <v>358.31799999999998</v>
      </c>
      <c r="J46" s="2">
        <v>354.411</v>
      </c>
      <c r="K46" s="24"/>
    </row>
    <row r="47" spans="2:11" x14ac:dyDescent="0.2">
      <c r="D47" s="16"/>
      <c r="G47" s="24"/>
      <c r="H47" s="24"/>
      <c r="K47" s="24"/>
    </row>
    <row r="48" spans="2:11" x14ac:dyDescent="0.2">
      <c r="B48" s="4" t="s">
        <v>116</v>
      </c>
      <c r="C48" s="15"/>
      <c r="D48" s="14">
        <f t="shared" ref="D48:J48" si="2">SUM(D50:D65)-D59-D60</f>
        <v>20816.483</v>
      </c>
      <c r="E48" s="15">
        <f t="shared" si="2"/>
        <v>30030.44</v>
      </c>
      <c r="F48" s="15">
        <f t="shared" si="2"/>
        <v>34981.484000000004</v>
      </c>
      <c r="G48" s="28">
        <f>SUM(G50:G65)-G59-G60</f>
        <v>24938.579000000002</v>
      </c>
      <c r="H48" s="28">
        <f>SUM(H50:H65)-H59-H60</f>
        <v>21678.813999999998</v>
      </c>
      <c r="I48" s="29">
        <f>SUM(I50:I65)-I59-I60</f>
        <v>26085.672999999999</v>
      </c>
      <c r="J48" s="29">
        <f t="shared" si="2"/>
        <v>30874.023000000001</v>
      </c>
      <c r="K48" s="24"/>
    </row>
    <row r="49" spans="3:11" x14ac:dyDescent="0.2">
      <c r="C49" s="1" t="s">
        <v>80</v>
      </c>
      <c r="D49" s="16"/>
      <c r="G49" s="24"/>
      <c r="H49" s="24"/>
      <c r="K49" s="24"/>
    </row>
    <row r="50" spans="3:11" x14ac:dyDescent="0.2">
      <c r="C50" s="1" t="s">
        <v>117</v>
      </c>
      <c r="D50" s="16">
        <v>5695.1</v>
      </c>
      <c r="E50" s="3">
        <v>5608.2579999999998</v>
      </c>
      <c r="F50" s="3">
        <v>9295.1980000000003</v>
      </c>
      <c r="G50" s="30">
        <v>3705.9</v>
      </c>
      <c r="H50" s="30">
        <v>2439.1309999999999</v>
      </c>
      <c r="I50" s="2">
        <v>5822.8720000000003</v>
      </c>
      <c r="J50" s="2">
        <v>14455.51</v>
      </c>
      <c r="K50" s="24"/>
    </row>
    <row r="51" spans="3:11" x14ac:dyDescent="0.2">
      <c r="C51" s="1" t="s">
        <v>118</v>
      </c>
      <c r="D51" s="16">
        <v>5688.933</v>
      </c>
      <c r="E51" s="3">
        <v>7535.3459999999995</v>
      </c>
      <c r="F51" s="3">
        <v>3039.6669999999999</v>
      </c>
      <c r="G51" s="30">
        <v>252.315</v>
      </c>
      <c r="H51" s="30">
        <v>1.948</v>
      </c>
      <c r="I51" s="17">
        <v>0</v>
      </c>
      <c r="J51" s="17">
        <v>1531.1279999999999</v>
      </c>
      <c r="K51" s="24"/>
    </row>
    <row r="52" spans="3:11" x14ac:dyDescent="0.2">
      <c r="C52" s="1" t="s">
        <v>119</v>
      </c>
      <c r="D52" s="16">
        <v>3152.8470000000002</v>
      </c>
      <c r="E52" s="3">
        <v>3780.1790000000001</v>
      </c>
      <c r="F52" s="3">
        <v>4924.951</v>
      </c>
      <c r="G52" s="30">
        <v>3616.2809999999999</v>
      </c>
      <c r="H52" s="30">
        <v>3812.4349999999999</v>
      </c>
      <c r="I52" s="2">
        <v>2755.9870000000001</v>
      </c>
      <c r="J52" s="2">
        <v>733.70399999999995</v>
      </c>
      <c r="K52" s="24"/>
    </row>
    <row r="53" spans="3:11" x14ac:dyDescent="0.2">
      <c r="D53" s="16"/>
      <c r="E53" s="3"/>
      <c r="F53" s="3"/>
      <c r="G53" s="24"/>
      <c r="H53" s="24"/>
      <c r="K53" s="24"/>
    </row>
    <row r="54" spans="3:11" x14ac:dyDescent="0.2">
      <c r="C54" s="1" t="s">
        <v>120</v>
      </c>
      <c r="D54" s="18">
        <v>0</v>
      </c>
      <c r="E54" s="3">
        <v>10.643000000000001</v>
      </c>
      <c r="F54" s="3">
        <v>22.736000000000001</v>
      </c>
      <c r="G54" s="30">
        <v>18.634</v>
      </c>
      <c r="H54" s="17">
        <v>0.33</v>
      </c>
      <c r="I54" s="2">
        <v>13.512</v>
      </c>
      <c r="J54" s="2">
        <v>10.311999999999999</v>
      </c>
      <c r="K54" s="24"/>
    </row>
    <row r="55" spans="3:11" x14ac:dyDescent="0.2">
      <c r="C55" s="1" t="s">
        <v>121</v>
      </c>
      <c r="D55" s="18">
        <v>0</v>
      </c>
      <c r="E55" s="3">
        <v>370.29399999999998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24"/>
    </row>
    <row r="56" spans="3:11" x14ac:dyDescent="0.2">
      <c r="C56" s="1" t="s">
        <v>122</v>
      </c>
      <c r="D56" s="18">
        <v>0</v>
      </c>
      <c r="E56" s="3">
        <v>2.7679999999999998</v>
      </c>
      <c r="F56" s="3">
        <v>29.847000000000001</v>
      </c>
      <c r="G56" s="30">
        <v>7.5919999999999996</v>
      </c>
      <c r="H56" s="32">
        <v>0</v>
      </c>
      <c r="I56" s="17">
        <v>0</v>
      </c>
      <c r="J56" s="17">
        <v>2.3E-2</v>
      </c>
      <c r="K56" s="24"/>
    </row>
    <row r="57" spans="3:11" x14ac:dyDescent="0.2">
      <c r="D57" s="16"/>
      <c r="E57" s="3"/>
      <c r="F57" s="3"/>
      <c r="G57" s="24"/>
      <c r="H57" s="24"/>
      <c r="K57" s="24"/>
    </row>
    <row r="58" spans="3:11" x14ac:dyDescent="0.2">
      <c r="C58" s="1" t="s">
        <v>123</v>
      </c>
      <c r="D58" s="16">
        <v>6261.0150000000003</v>
      </c>
      <c r="E58" s="3">
        <v>4193.5129999999999</v>
      </c>
      <c r="F58" s="3">
        <v>3599.998</v>
      </c>
      <c r="G58" s="30">
        <v>3124.77</v>
      </c>
      <c r="H58" s="30">
        <v>2899.9180000000001</v>
      </c>
      <c r="I58" s="2">
        <v>3255.0129999999999</v>
      </c>
      <c r="J58" s="2">
        <v>2726.4810000000002</v>
      </c>
      <c r="K58" s="24"/>
    </row>
    <row r="59" spans="3:11" x14ac:dyDescent="0.2">
      <c r="C59" s="1" t="s">
        <v>124</v>
      </c>
      <c r="D59" s="16">
        <v>4880.902</v>
      </c>
      <c r="E59" s="3">
        <v>3268.752</v>
      </c>
      <c r="F59" s="3">
        <v>3132.7289999999998</v>
      </c>
      <c r="G59" s="30">
        <v>2804.6019999999999</v>
      </c>
      <c r="H59" s="30">
        <v>2538.7170000000001</v>
      </c>
      <c r="I59" s="2">
        <v>2743.681</v>
      </c>
      <c r="J59" s="2">
        <v>2383.9389999999999</v>
      </c>
      <c r="K59" s="24"/>
    </row>
    <row r="60" spans="3:11" x14ac:dyDescent="0.2">
      <c r="C60" s="1" t="s">
        <v>125</v>
      </c>
      <c r="D60" s="16">
        <v>1228.047</v>
      </c>
      <c r="E60" s="3">
        <v>689.44</v>
      </c>
      <c r="F60" s="3">
        <v>181.09200000000001</v>
      </c>
      <c r="G60" s="30">
        <v>145.596</v>
      </c>
      <c r="H60" s="30">
        <v>131.96100000000001</v>
      </c>
      <c r="I60" s="2">
        <v>103.687</v>
      </c>
      <c r="J60" s="2">
        <v>132.203</v>
      </c>
      <c r="K60" s="24"/>
    </row>
    <row r="61" spans="3:11" x14ac:dyDescent="0.2">
      <c r="D61" s="16"/>
      <c r="E61" s="3"/>
      <c r="F61" s="3"/>
      <c r="G61" s="24"/>
      <c r="H61" s="24"/>
      <c r="K61" s="24"/>
    </row>
    <row r="62" spans="3:11" x14ac:dyDescent="0.2">
      <c r="C62" s="1" t="s">
        <v>126</v>
      </c>
      <c r="D62" s="16">
        <v>18.588000000000001</v>
      </c>
      <c r="E62" s="3">
        <v>7.46</v>
      </c>
      <c r="F62" s="3">
        <v>8.8390000000000004</v>
      </c>
      <c r="G62" s="30">
        <v>7.7629999999999999</v>
      </c>
      <c r="H62" s="30">
        <v>7.657</v>
      </c>
      <c r="I62" s="2">
        <v>14.05</v>
      </c>
      <c r="J62" s="2">
        <v>21.798999999999999</v>
      </c>
      <c r="K62" s="24"/>
    </row>
    <row r="63" spans="3:11" x14ac:dyDescent="0.2">
      <c r="C63" s="1" t="s">
        <v>127</v>
      </c>
      <c r="D63" s="18" t="s">
        <v>103</v>
      </c>
      <c r="E63" s="3">
        <v>8521.9789999999994</v>
      </c>
      <c r="F63" s="3">
        <v>14060.248</v>
      </c>
      <c r="G63" s="30">
        <v>14205.324000000001</v>
      </c>
      <c r="H63" s="30">
        <v>12514.21</v>
      </c>
      <c r="I63" s="2">
        <v>14216.279</v>
      </c>
      <c r="J63" s="2">
        <v>11387.703</v>
      </c>
      <c r="K63" s="24"/>
    </row>
    <row r="64" spans="3:11" x14ac:dyDescent="0.2">
      <c r="C64" s="1" t="s">
        <v>128</v>
      </c>
      <c r="D64" s="18" t="s">
        <v>38</v>
      </c>
      <c r="E64" s="17" t="s">
        <v>38</v>
      </c>
      <c r="F64" s="17" t="s">
        <v>38</v>
      </c>
      <c r="G64" s="17">
        <v>0</v>
      </c>
      <c r="H64" s="30">
        <v>3.1850000000000001</v>
      </c>
      <c r="I64" s="2">
        <v>7.96</v>
      </c>
      <c r="J64" s="2">
        <v>7.3630000000000004</v>
      </c>
      <c r="K64" s="24"/>
    </row>
    <row r="65" spans="1:11" x14ac:dyDescent="0.2">
      <c r="C65" s="1" t="s">
        <v>115</v>
      </c>
      <c r="D65" s="18" t="s">
        <v>103</v>
      </c>
      <c r="E65" s="17" t="s">
        <v>38</v>
      </c>
      <c r="F65" s="17" t="s">
        <v>38</v>
      </c>
      <c r="G65" s="17">
        <v>0</v>
      </c>
      <c r="H65" s="17">
        <v>0</v>
      </c>
      <c r="I65" s="17">
        <v>0</v>
      </c>
      <c r="J65" s="17">
        <v>0</v>
      </c>
      <c r="K65" s="24"/>
    </row>
    <row r="66" spans="1:11" ht="18" thickBot="1" x14ac:dyDescent="0.25">
      <c r="B66" s="5"/>
      <c r="C66" s="5"/>
      <c r="D66" s="20"/>
      <c r="E66" s="33"/>
      <c r="F66" s="5"/>
      <c r="G66" s="33"/>
      <c r="H66" s="5"/>
      <c r="I66" s="5"/>
      <c r="J66" s="5"/>
      <c r="K66" s="24"/>
    </row>
    <row r="67" spans="1:11" x14ac:dyDescent="0.2">
      <c r="D67" s="1" t="s">
        <v>129</v>
      </c>
      <c r="K67" s="24"/>
    </row>
    <row r="68" spans="1:11" x14ac:dyDescent="0.2">
      <c r="D68" s="1" t="s">
        <v>130</v>
      </c>
      <c r="K68" s="24"/>
    </row>
    <row r="69" spans="1:11" x14ac:dyDescent="0.2">
      <c r="A69" s="24"/>
      <c r="B69" s="24"/>
      <c r="C69" s="24"/>
      <c r="D69" s="34" t="s">
        <v>131</v>
      </c>
      <c r="E69" s="24"/>
      <c r="F69" s="24"/>
      <c r="G69" s="24"/>
      <c r="H69" s="24"/>
      <c r="I69" s="24"/>
      <c r="J69" s="24"/>
      <c r="K69" s="24"/>
    </row>
    <row r="70" spans="1:11" x14ac:dyDescent="0.2">
      <c r="A70" s="1"/>
      <c r="K70" s="24"/>
    </row>
    <row r="71" spans="1:11" x14ac:dyDescent="0.2">
      <c r="K71" s="24"/>
    </row>
    <row r="72" spans="1:11" x14ac:dyDescent="0.2">
      <c r="K72" s="24"/>
    </row>
    <row r="73" spans="1:11" x14ac:dyDescent="0.2">
      <c r="K73" s="24"/>
    </row>
    <row r="74" spans="1:11" x14ac:dyDescent="0.2">
      <c r="K74" s="24"/>
    </row>
    <row r="75" spans="1:11" x14ac:dyDescent="0.2">
      <c r="K75" s="24"/>
    </row>
    <row r="76" spans="1:11" x14ac:dyDescent="0.2">
      <c r="K76" s="24"/>
    </row>
    <row r="77" spans="1:11" x14ac:dyDescent="0.2">
      <c r="K77" s="24"/>
    </row>
    <row r="78" spans="1:11" x14ac:dyDescent="0.2">
      <c r="K78" s="24"/>
    </row>
    <row r="79" spans="1:11" x14ac:dyDescent="0.2">
      <c r="K79" s="24"/>
    </row>
    <row r="80" spans="1:11" x14ac:dyDescent="0.2">
      <c r="K80" s="24"/>
    </row>
    <row r="81" spans="11:11" x14ac:dyDescent="0.2">
      <c r="K81" s="24"/>
    </row>
    <row r="82" spans="11:11" x14ac:dyDescent="0.2">
      <c r="K82" s="24"/>
    </row>
    <row r="83" spans="11:11" x14ac:dyDescent="0.2">
      <c r="K83" s="24"/>
    </row>
    <row r="84" spans="11:11" x14ac:dyDescent="0.2">
      <c r="K84" s="24"/>
    </row>
    <row r="85" spans="11:11" x14ac:dyDescent="0.2">
      <c r="K85" s="24"/>
    </row>
    <row r="86" spans="11:11" x14ac:dyDescent="0.2">
      <c r="K86" s="24"/>
    </row>
    <row r="87" spans="11:11" x14ac:dyDescent="0.2">
      <c r="K87" s="24"/>
    </row>
    <row r="88" spans="11:11" x14ac:dyDescent="0.2">
      <c r="K88" s="24"/>
    </row>
    <row r="89" spans="11:11" x14ac:dyDescent="0.2">
      <c r="K89" s="24"/>
    </row>
    <row r="90" spans="11:11" x14ac:dyDescent="0.2">
      <c r="K90" s="24"/>
    </row>
    <row r="91" spans="11:11" x14ac:dyDescent="0.2">
      <c r="K91" s="24"/>
    </row>
    <row r="92" spans="11:11" x14ac:dyDescent="0.2">
      <c r="K92" s="24"/>
    </row>
    <row r="93" spans="11:11" x14ac:dyDescent="0.2">
      <c r="K93" s="24"/>
    </row>
    <row r="94" spans="11:11" x14ac:dyDescent="0.2">
      <c r="K94" s="24"/>
    </row>
    <row r="95" spans="11:11" x14ac:dyDescent="0.2">
      <c r="K95" s="24"/>
    </row>
    <row r="96" spans="11:11" x14ac:dyDescent="0.2">
      <c r="K96" s="24"/>
    </row>
    <row r="97" spans="11:11" x14ac:dyDescent="0.2">
      <c r="K97" s="24"/>
    </row>
    <row r="98" spans="11:11" x14ac:dyDescent="0.2">
      <c r="K98" s="24"/>
    </row>
    <row r="99" spans="11:11" x14ac:dyDescent="0.2">
      <c r="K99" s="24"/>
    </row>
    <row r="100" spans="11:11" x14ac:dyDescent="0.2">
      <c r="K100" s="24"/>
    </row>
    <row r="101" spans="11:11" x14ac:dyDescent="0.2">
      <c r="K101" s="24"/>
    </row>
    <row r="102" spans="11:11" x14ac:dyDescent="0.2">
      <c r="K102" s="24"/>
    </row>
    <row r="103" spans="11:11" x14ac:dyDescent="0.2">
      <c r="K103" s="24"/>
    </row>
    <row r="104" spans="11:11" x14ac:dyDescent="0.2">
      <c r="K104" s="24"/>
    </row>
    <row r="105" spans="11:11" x14ac:dyDescent="0.2">
      <c r="K105" s="24"/>
    </row>
    <row r="106" spans="11:11" x14ac:dyDescent="0.2">
      <c r="K106" s="24"/>
    </row>
    <row r="107" spans="11:11" x14ac:dyDescent="0.2">
      <c r="K107" s="24"/>
    </row>
    <row r="108" spans="11:11" x14ac:dyDescent="0.2">
      <c r="K108" s="24"/>
    </row>
    <row r="109" spans="11:11" x14ac:dyDescent="0.2">
      <c r="K109" s="24"/>
    </row>
    <row r="110" spans="11:11" x14ac:dyDescent="0.2">
      <c r="K110" s="24"/>
    </row>
    <row r="111" spans="11:11" x14ac:dyDescent="0.2">
      <c r="K111" s="24"/>
    </row>
    <row r="112" spans="11:11" x14ac:dyDescent="0.2">
      <c r="K112" s="24"/>
    </row>
    <row r="113" spans="11:11" x14ac:dyDescent="0.2">
      <c r="K113" s="24"/>
    </row>
    <row r="114" spans="11:11" x14ac:dyDescent="0.2">
      <c r="K114" s="24"/>
    </row>
    <row r="115" spans="11:11" x14ac:dyDescent="0.2">
      <c r="K115" s="24"/>
    </row>
  </sheetData>
  <phoneticPr fontId="2"/>
  <pageMargins left="0.34" right="0.54" top="0.6" bottom="0.59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4"/>
  <sheetViews>
    <sheetView showGridLines="0" zoomScale="75" workbookViewId="0">
      <selection activeCell="E30" sqref="E30"/>
    </sheetView>
  </sheetViews>
  <sheetFormatPr defaultColWidth="12.125" defaultRowHeight="17.25" x14ac:dyDescent="0.2"/>
  <cols>
    <col min="1" max="1" width="13.375" style="2" customWidth="1"/>
    <col min="2" max="2" width="19.625" style="2" customWidth="1"/>
    <col min="3" max="6" width="13.375" style="2" customWidth="1"/>
    <col min="7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9.625" style="2" customWidth="1"/>
    <col min="259" max="262" width="13.375" style="2" customWidth="1"/>
    <col min="263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9.625" style="2" customWidth="1"/>
    <col min="515" max="518" width="13.375" style="2" customWidth="1"/>
    <col min="519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9.625" style="2" customWidth="1"/>
    <col min="771" max="774" width="13.375" style="2" customWidth="1"/>
    <col min="775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9.625" style="2" customWidth="1"/>
    <col min="1027" max="1030" width="13.375" style="2" customWidth="1"/>
    <col min="1031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9.625" style="2" customWidth="1"/>
    <col min="1283" max="1286" width="13.375" style="2" customWidth="1"/>
    <col min="1287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9.625" style="2" customWidth="1"/>
    <col min="1539" max="1542" width="13.375" style="2" customWidth="1"/>
    <col min="1543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9.625" style="2" customWidth="1"/>
    <col min="1795" max="1798" width="13.375" style="2" customWidth="1"/>
    <col min="1799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9.625" style="2" customWidth="1"/>
    <col min="2051" max="2054" width="13.375" style="2" customWidth="1"/>
    <col min="2055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9.625" style="2" customWidth="1"/>
    <col min="2307" max="2310" width="13.375" style="2" customWidth="1"/>
    <col min="2311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9.625" style="2" customWidth="1"/>
    <col min="2563" max="2566" width="13.375" style="2" customWidth="1"/>
    <col min="2567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9.625" style="2" customWidth="1"/>
    <col min="2819" max="2822" width="13.375" style="2" customWidth="1"/>
    <col min="2823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9.625" style="2" customWidth="1"/>
    <col min="3075" max="3078" width="13.375" style="2" customWidth="1"/>
    <col min="3079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9.625" style="2" customWidth="1"/>
    <col min="3331" max="3334" width="13.375" style="2" customWidth="1"/>
    <col min="3335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9.625" style="2" customWidth="1"/>
    <col min="3587" max="3590" width="13.375" style="2" customWidth="1"/>
    <col min="3591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9.625" style="2" customWidth="1"/>
    <col min="3843" max="3846" width="13.375" style="2" customWidth="1"/>
    <col min="3847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9.625" style="2" customWidth="1"/>
    <col min="4099" max="4102" width="13.375" style="2" customWidth="1"/>
    <col min="4103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9.625" style="2" customWidth="1"/>
    <col min="4355" max="4358" width="13.375" style="2" customWidth="1"/>
    <col min="4359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9.625" style="2" customWidth="1"/>
    <col min="4611" max="4614" width="13.375" style="2" customWidth="1"/>
    <col min="4615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9.625" style="2" customWidth="1"/>
    <col min="4867" max="4870" width="13.375" style="2" customWidth="1"/>
    <col min="4871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9.625" style="2" customWidth="1"/>
    <col min="5123" max="5126" width="13.375" style="2" customWidth="1"/>
    <col min="5127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9.625" style="2" customWidth="1"/>
    <col min="5379" max="5382" width="13.375" style="2" customWidth="1"/>
    <col min="5383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9.625" style="2" customWidth="1"/>
    <col min="5635" max="5638" width="13.375" style="2" customWidth="1"/>
    <col min="5639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9.625" style="2" customWidth="1"/>
    <col min="5891" max="5894" width="13.375" style="2" customWidth="1"/>
    <col min="5895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9.625" style="2" customWidth="1"/>
    <col min="6147" max="6150" width="13.375" style="2" customWidth="1"/>
    <col min="6151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9.625" style="2" customWidth="1"/>
    <col min="6403" max="6406" width="13.375" style="2" customWidth="1"/>
    <col min="6407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9.625" style="2" customWidth="1"/>
    <col min="6659" max="6662" width="13.375" style="2" customWidth="1"/>
    <col min="6663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9.625" style="2" customWidth="1"/>
    <col min="6915" max="6918" width="13.375" style="2" customWidth="1"/>
    <col min="6919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9.625" style="2" customWidth="1"/>
    <col min="7171" max="7174" width="13.375" style="2" customWidth="1"/>
    <col min="7175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9.625" style="2" customWidth="1"/>
    <col min="7427" max="7430" width="13.375" style="2" customWidth="1"/>
    <col min="7431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9.625" style="2" customWidth="1"/>
    <col min="7683" max="7686" width="13.375" style="2" customWidth="1"/>
    <col min="7687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9.625" style="2" customWidth="1"/>
    <col min="7939" max="7942" width="13.375" style="2" customWidth="1"/>
    <col min="7943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9.625" style="2" customWidth="1"/>
    <col min="8195" max="8198" width="13.375" style="2" customWidth="1"/>
    <col min="8199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9.625" style="2" customWidth="1"/>
    <col min="8451" max="8454" width="13.375" style="2" customWidth="1"/>
    <col min="8455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9.625" style="2" customWidth="1"/>
    <col min="8707" max="8710" width="13.375" style="2" customWidth="1"/>
    <col min="8711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9.625" style="2" customWidth="1"/>
    <col min="8963" max="8966" width="13.375" style="2" customWidth="1"/>
    <col min="8967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9.625" style="2" customWidth="1"/>
    <col min="9219" max="9222" width="13.375" style="2" customWidth="1"/>
    <col min="9223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9.625" style="2" customWidth="1"/>
    <col min="9475" max="9478" width="13.375" style="2" customWidth="1"/>
    <col min="9479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9.625" style="2" customWidth="1"/>
    <col min="9731" max="9734" width="13.375" style="2" customWidth="1"/>
    <col min="9735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9.625" style="2" customWidth="1"/>
    <col min="9987" max="9990" width="13.375" style="2" customWidth="1"/>
    <col min="9991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9.625" style="2" customWidth="1"/>
    <col min="10243" max="10246" width="13.375" style="2" customWidth="1"/>
    <col min="10247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9.625" style="2" customWidth="1"/>
    <col min="10499" max="10502" width="13.375" style="2" customWidth="1"/>
    <col min="10503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9.625" style="2" customWidth="1"/>
    <col min="10755" max="10758" width="13.375" style="2" customWidth="1"/>
    <col min="10759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9.625" style="2" customWidth="1"/>
    <col min="11011" max="11014" width="13.375" style="2" customWidth="1"/>
    <col min="11015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9.625" style="2" customWidth="1"/>
    <col min="11267" max="11270" width="13.375" style="2" customWidth="1"/>
    <col min="11271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9.625" style="2" customWidth="1"/>
    <col min="11523" max="11526" width="13.375" style="2" customWidth="1"/>
    <col min="11527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9.625" style="2" customWidth="1"/>
    <col min="11779" max="11782" width="13.375" style="2" customWidth="1"/>
    <col min="11783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9.625" style="2" customWidth="1"/>
    <col min="12035" max="12038" width="13.375" style="2" customWidth="1"/>
    <col min="12039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9.625" style="2" customWidth="1"/>
    <col min="12291" max="12294" width="13.375" style="2" customWidth="1"/>
    <col min="12295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9.625" style="2" customWidth="1"/>
    <col min="12547" max="12550" width="13.375" style="2" customWidth="1"/>
    <col min="12551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9.625" style="2" customWidth="1"/>
    <col min="12803" max="12806" width="13.375" style="2" customWidth="1"/>
    <col min="12807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9.625" style="2" customWidth="1"/>
    <col min="13059" max="13062" width="13.375" style="2" customWidth="1"/>
    <col min="13063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9.625" style="2" customWidth="1"/>
    <col min="13315" max="13318" width="13.375" style="2" customWidth="1"/>
    <col min="13319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9.625" style="2" customWidth="1"/>
    <col min="13571" max="13574" width="13.375" style="2" customWidth="1"/>
    <col min="13575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9.625" style="2" customWidth="1"/>
    <col min="13827" max="13830" width="13.375" style="2" customWidth="1"/>
    <col min="13831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9.625" style="2" customWidth="1"/>
    <col min="14083" max="14086" width="13.375" style="2" customWidth="1"/>
    <col min="14087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9.625" style="2" customWidth="1"/>
    <col min="14339" max="14342" width="13.375" style="2" customWidth="1"/>
    <col min="14343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9.625" style="2" customWidth="1"/>
    <col min="14595" max="14598" width="13.375" style="2" customWidth="1"/>
    <col min="14599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9.625" style="2" customWidth="1"/>
    <col min="14851" max="14854" width="13.375" style="2" customWidth="1"/>
    <col min="14855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9.625" style="2" customWidth="1"/>
    <col min="15107" max="15110" width="13.375" style="2" customWidth="1"/>
    <col min="15111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9.625" style="2" customWidth="1"/>
    <col min="15363" max="15366" width="13.375" style="2" customWidth="1"/>
    <col min="15367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9.625" style="2" customWidth="1"/>
    <col min="15619" max="15622" width="13.375" style="2" customWidth="1"/>
    <col min="15623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9.625" style="2" customWidth="1"/>
    <col min="15875" max="15878" width="13.375" style="2" customWidth="1"/>
    <col min="15879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9.625" style="2" customWidth="1"/>
    <col min="16131" max="16134" width="13.375" style="2" customWidth="1"/>
    <col min="16135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4" t="s">
        <v>132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6" t="s">
        <v>133</v>
      </c>
      <c r="K7" s="5"/>
    </row>
    <row r="8" spans="1:11" x14ac:dyDescent="0.2">
      <c r="C8" s="7"/>
    </row>
    <row r="9" spans="1:11" x14ac:dyDescent="0.2">
      <c r="C9" s="7"/>
      <c r="D9" s="10"/>
      <c r="E9" s="26" t="s">
        <v>134</v>
      </c>
      <c r="F9" s="10"/>
      <c r="G9" s="10"/>
      <c r="H9" s="10"/>
      <c r="I9" s="10"/>
      <c r="J9" s="10"/>
      <c r="K9" s="10"/>
    </row>
    <row r="10" spans="1:11" x14ac:dyDescent="0.2">
      <c r="C10" s="8" t="s">
        <v>135</v>
      </c>
      <c r="D10" s="7"/>
      <c r="E10" s="7"/>
      <c r="F10" s="8" t="s">
        <v>136</v>
      </c>
      <c r="G10" s="7"/>
      <c r="H10" s="7"/>
      <c r="I10" s="7"/>
      <c r="J10" s="7"/>
      <c r="K10" s="8" t="s">
        <v>137</v>
      </c>
    </row>
    <row r="11" spans="1:11" x14ac:dyDescent="0.2">
      <c r="B11" s="10"/>
      <c r="C11" s="11"/>
      <c r="D11" s="35" t="s">
        <v>138</v>
      </c>
      <c r="E11" s="12" t="s">
        <v>139</v>
      </c>
      <c r="F11" s="35" t="s">
        <v>140</v>
      </c>
      <c r="G11" s="12" t="s">
        <v>141</v>
      </c>
      <c r="H11" s="12" t="s">
        <v>142</v>
      </c>
      <c r="I11" s="12" t="s">
        <v>143</v>
      </c>
      <c r="J11" s="36" t="s">
        <v>144</v>
      </c>
      <c r="K11" s="37" t="s">
        <v>115</v>
      </c>
    </row>
    <row r="12" spans="1:11" x14ac:dyDescent="0.2">
      <c r="C12" s="7"/>
    </row>
    <row r="13" spans="1:11" x14ac:dyDescent="0.2">
      <c r="B13" s="1" t="s">
        <v>145</v>
      </c>
      <c r="C13" s="38">
        <f>SUM(D13:K13)</f>
        <v>20524.199999999997</v>
      </c>
      <c r="D13" s="3">
        <f>20148-0.4</f>
        <v>20147.599999999999</v>
      </c>
      <c r="E13" s="17" t="s">
        <v>38</v>
      </c>
      <c r="F13" s="3">
        <f>249-0.4</f>
        <v>248.6</v>
      </c>
      <c r="G13" s="3">
        <v>124</v>
      </c>
      <c r="H13" s="17" t="s">
        <v>38</v>
      </c>
      <c r="I13" s="3">
        <v>0</v>
      </c>
      <c r="J13" s="3">
        <v>0</v>
      </c>
      <c r="K13" s="3">
        <v>4</v>
      </c>
    </row>
    <row r="14" spans="1:11" x14ac:dyDescent="0.2">
      <c r="B14" s="1" t="s">
        <v>146</v>
      </c>
      <c r="C14" s="38">
        <f>SUM(D14:K14)-3</f>
        <v>11903.02</v>
      </c>
      <c r="D14" s="3">
        <v>11473</v>
      </c>
      <c r="E14" s="17" t="s">
        <v>38</v>
      </c>
      <c r="F14" s="3">
        <v>197</v>
      </c>
      <c r="G14" s="3">
        <v>226</v>
      </c>
      <c r="H14" s="17" t="s">
        <v>38</v>
      </c>
      <c r="I14" s="3">
        <v>0.02</v>
      </c>
      <c r="J14" s="3">
        <v>0</v>
      </c>
      <c r="K14" s="3">
        <v>10</v>
      </c>
    </row>
    <row r="15" spans="1:11" x14ac:dyDescent="0.2">
      <c r="B15" s="1" t="s">
        <v>147</v>
      </c>
      <c r="C15" s="38">
        <f>SUM(D15:K15)</f>
        <v>10123.719999999999</v>
      </c>
      <c r="D15" s="3">
        <v>9156.4</v>
      </c>
      <c r="E15" s="17" t="s">
        <v>38</v>
      </c>
      <c r="F15" s="3">
        <v>333.3</v>
      </c>
      <c r="G15" s="3">
        <v>439</v>
      </c>
      <c r="H15" s="17" t="s">
        <v>38</v>
      </c>
      <c r="I15" s="3">
        <v>0.02</v>
      </c>
      <c r="J15" s="3">
        <v>0</v>
      </c>
      <c r="K15" s="3">
        <v>195</v>
      </c>
    </row>
    <row r="16" spans="1:11" x14ac:dyDescent="0.2">
      <c r="C16" s="7"/>
    </row>
    <row r="17" spans="2:11" x14ac:dyDescent="0.2">
      <c r="B17" s="1" t="s">
        <v>148</v>
      </c>
      <c r="C17" s="38">
        <f>SUM(D17:K17)</f>
        <v>12376.2</v>
      </c>
      <c r="D17" s="3">
        <v>9337.6</v>
      </c>
      <c r="E17" s="17" t="s">
        <v>38</v>
      </c>
      <c r="F17" s="3">
        <v>318.60000000000002</v>
      </c>
      <c r="G17" s="3">
        <v>2359</v>
      </c>
      <c r="H17" s="17" t="s">
        <v>38</v>
      </c>
      <c r="I17" s="3">
        <v>4</v>
      </c>
      <c r="J17" s="17" t="s">
        <v>38</v>
      </c>
      <c r="K17" s="3">
        <v>357</v>
      </c>
    </row>
    <row r="18" spans="2:11" x14ac:dyDescent="0.2">
      <c r="B18" s="1" t="s">
        <v>149</v>
      </c>
      <c r="C18" s="38">
        <f>SUM(D18:K18)</f>
        <v>11302</v>
      </c>
      <c r="D18" s="3">
        <v>8633</v>
      </c>
      <c r="E18" s="17" t="s">
        <v>38</v>
      </c>
      <c r="F18" s="3">
        <v>77</v>
      </c>
      <c r="G18" s="3">
        <v>2166</v>
      </c>
      <c r="H18" s="17" t="s">
        <v>38</v>
      </c>
      <c r="I18" s="3">
        <v>5</v>
      </c>
      <c r="J18" s="17" t="s">
        <v>38</v>
      </c>
      <c r="K18" s="3">
        <v>421</v>
      </c>
    </row>
    <row r="19" spans="2:11" x14ac:dyDescent="0.2">
      <c r="B19" s="1" t="s">
        <v>150</v>
      </c>
      <c r="C19" s="38">
        <f>SUM(D19:K19)</f>
        <v>10774</v>
      </c>
      <c r="D19" s="3">
        <v>8050</v>
      </c>
      <c r="E19" s="17" t="s">
        <v>38</v>
      </c>
      <c r="F19" s="3">
        <v>316</v>
      </c>
      <c r="G19" s="3">
        <v>1862</v>
      </c>
      <c r="H19" s="17" t="s">
        <v>38</v>
      </c>
      <c r="I19" s="3">
        <v>5</v>
      </c>
      <c r="J19" s="17" t="s">
        <v>38</v>
      </c>
      <c r="K19" s="3">
        <v>541</v>
      </c>
    </row>
    <row r="20" spans="2:11" x14ac:dyDescent="0.2">
      <c r="B20" s="1"/>
      <c r="C20" s="38"/>
      <c r="D20" s="3"/>
      <c r="E20" s="17"/>
      <c r="F20" s="3"/>
      <c r="G20" s="3"/>
      <c r="H20" s="17"/>
      <c r="I20" s="3"/>
      <c r="J20" s="17"/>
      <c r="K20" s="3"/>
    </row>
    <row r="21" spans="2:11" x14ac:dyDescent="0.2">
      <c r="B21" s="1" t="s">
        <v>151</v>
      </c>
      <c r="C21" s="38">
        <f>SUM(D21:K21)</f>
        <v>8624</v>
      </c>
      <c r="D21" s="3">
        <v>7612</v>
      </c>
      <c r="E21" s="17" t="s">
        <v>38</v>
      </c>
      <c r="F21" s="3">
        <v>86</v>
      </c>
      <c r="G21" s="3">
        <v>463</v>
      </c>
      <c r="H21" s="17" t="s">
        <v>38</v>
      </c>
      <c r="I21" s="3">
        <v>6</v>
      </c>
      <c r="J21" s="17" t="s">
        <v>38</v>
      </c>
      <c r="K21" s="3">
        <v>457</v>
      </c>
    </row>
    <row r="22" spans="2:11" x14ac:dyDescent="0.2">
      <c r="B22" s="1" t="s">
        <v>152</v>
      </c>
      <c r="C22" s="38">
        <f>SUM(D22:K22)</f>
        <v>8821.7000000000007</v>
      </c>
      <c r="D22" s="3">
        <v>7086</v>
      </c>
      <c r="E22" s="17" t="s">
        <v>38</v>
      </c>
      <c r="F22" s="3">
        <v>142.69999999999999</v>
      </c>
      <c r="G22" s="3">
        <v>346</v>
      </c>
      <c r="H22" s="17" t="s">
        <v>38</v>
      </c>
      <c r="I22" s="3">
        <v>14</v>
      </c>
      <c r="J22" s="17" t="s">
        <v>38</v>
      </c>
      <c r="K22" s="3">
        <v>1233</v>
      </c>
    </row>
    <row r="23" spans="2:11" x14ac:dyDescent="0.2">
      <c r="B23" s="1" t="s">
        <v>153</v>
      </c>
      <c r="C23" s="38">
        <f>SUM(D23:K23)</f>
        <v>9793</v>
      </c>
      <c r="D23" s="3">
        <v>7256</v>
      </c>
      <c r="E23" s="17" t="s">
        <v>38</v>
      </c>
      <c r="F23" s="3">
        <v>191</v>
      </c>
      <c r="G23" s="3">
        <v>443</v>
      </c>
      <c r="H23" s="17" t="s">
        <v>38</v>
      </c>
      <c r="I23" s="3">
        <v>11</v>
      </c>
      <c r="J23" s="17" t="s">
        <v>38</v>
      </c>
      <c r="K23" s="3">
        <v>1892</v>
      </c>
    </row>
    <row r="24" spans="2:11" x14ac:dyDescent="0.2">
      <c r="B24" s="1"/>
      <c r="C24" s="38"/>
      <c r="D24" s="3"/>
      <c r="E24" s="17"/>
      <c r="F24" s="3"/>
      <c r="G24" s="3"/>
      <c r="H24" s="17"/>
      <c r="I24" s="3"/>
      <c r="J24" s="17"/>
      <c r="K24" s="3"/>
    </row>
    <row r="25" spans="2:11" x14ac:dyDescent="0.2">
      <c r="B25" s="1" t="s">
        <v>154</v>
      </c>
      <c r="C25" s="38">
        <f>SUM(D25:K25)</f>
        <v>11138</v>
      </c>
      <c r="D25" s="3">
        <v>7088</v>
      </c>
      <c r="E25" s="17" t="s">
        <v>38</v>
      </c>
      <c r="F25" s="3">
        <v>70</v>
      </c>
      <c r="G25" s="3">
        <v>963</v>
      </c>
      <c r="H25" s="17" t="s">
        <v>38</v>
      </c>
      <c r="I25" s="3">
        <v>21</v>
      </c>
      <c r="J25" s="17" t="s">
        <v>38</v>
      </c>
      <c r="K25" s="3">
        <v>2996</v>
      </c>
    </row>
    <row r="26" spans="2:11" x14ac:dyDescent="0.2">
      <c r="B26" s="1" t="s">
        <v>155</v>
      </c>
      <c r="C26" s="38">
        <f>SUM(D26:K26)+3</f>
        <v>14011</v>
      </c>
      <c r="D26" s="3">
        <v>9846</v>
      </c>
      <c r="E26" s="17" t="s">
        <v>38</v>
      </c>
      <c r="F26" s="3">
        <v>104</v>
      </c>
      <c r="G26" s="3">
        <v>794</v>
      </c>
      <c r="H26" s="17" t="s">
        <v>38</v>
      </c>
      <c r="I26" s="3">
        <v>37</v>
      </c>
      <c r="J26" s="17" t="s">
        <v>38</v>
      </c>
      <c r="K26" s="3">
        <v>3227</v>
      </c>
    </row>
    <row r="27" spans="2:11" x14ac:dyDescent="0.2">
      <c r="B27" s="1" t="s">
        <v>156</v>
      </c>
      <c r="C27" s="38">
        <f>SUM(D27:K27)</f>
        <v>13160</v>
      </c>
      <c r="D27" s="3">
        <v>7007</v>
      </c>
      <c r="E27" s="17" t="s">
        <v>38</v>
      </c>
      <c r="F27" s="3">
        <v>125</v>
      </c>
      <c r="G27" s="3">
        <v>1806</v>
      </c>
      <c r="H27" s="3">
        <v>65</v>
      </c>
      <c r="I27" s="3">
        <v>37</v>
      </c>
      <c r="J27" s="17" t="s">
        <v>38</v>
      </c>
      <c r="K27" s="3">
        <v>4120</v>
      </c>
    </row>
    <row r="28" spans="2:11" x14ac:dyDescent="0.2">
      <c r="B28" s="1"/>
      <c r="C28" s="38"/>
      <c r="D28" s="3"/>
      <c r="E28" s="17"/>
      <c r="F28" s="3"/>
      <c r="G28" s="3"/>
      <c r="H28" s="3"/>
      <c r="I28" s="3"/>
      <c r="J28" s="17"/>
      <c r="K28" s="3"/>
    </row>
    <row r="29" spans="2:11" x14ac:dyDescent="0.2">
      <c r="B29" s="1" t="s">
        <v>157</v>
      </c>
      <c r="C29" s="38">
        <f>SUM(D29:K29)</f>
        <v>12655.599999999999</v>
      </c>
      <c r="D29" s="3">
        <f>6396+0.4</f>
        <v>6396.4</v>
      </c>
      <c r="E29" s="17" t="s">
        <v>38</v>
      </c>
      <c r="F29" s="3">
        <f>88+0.4</f>
        <v>88.4</v>
      </c>
      <c r="G29" s="3">
        <f>1895+0.4</f>
        <v>1895.4</v>
      </c>
      <c r="H29" s="3">
        <f>167+0.4</f>
        <v>167.4</v>
      </c>
      <c r="I29" s="3">
        <v>47</v>
      </c>
      <c r="J29" s="17" t="s">
        <v>38</v>
      </c>
      <c r="K29" s="3">
        <v>4061</v>
      </c>
    </row>
    <row r="30" spans="2:11" x14ac:dyDescent="0.2">
      <c r="B30" s="1" t="s">
        <v>158</v>
      </c>
      <c r="C30" s="38">
        <v>11773</v>
      </c>
      <c r="D30" s="3">
        <v>5570</v>
      </c>
      <c r="E30" s="17" t="s">
        <v>38</v>
      </c>
      <c r="F30" s="3">
        <v>66</v>
      </c>
      <c r="G30" s="17" t="s">
        <v>24</v>
      </c>
      <c r="H30" s="17" t="s">
        <v>24</v>
      </c>
      <c r="I30" s="17" t="s">
        <v>24</v>
      </c>
      <c r="J30" s="17" t="s">
        <v>24</v>
      </c>
      <c r="K30" s="3">
        <v>3342</v>
      </c>
    </row>
    <row r="31" spans="2:11" x14ac:dyDescent="0.2">
      <c r="B31" s="1" t="s">
        <v>159</v>
      </c>
      <c r="C31" s="38">
        <v>10025</v>
      </c>
      <c r="D31" s="3">
        <v>4864</v>
      </c>
      <c r="E31" s="17" t="s">
        <v>38</v>
      </c>
      <c r="F31" s="3">
        <v>162</v>
      </c>
      <c r="G31" s="17" t="s">
        <v>24</v>
      </c>
      <c r="H31" s="17" t="s">
        <v>24</v>
      </c>
      <c r="I31" s="17">
        <v>51</v>
      </c>
      <c r="J31" s="17" t="s">
        <v>24</v>
      </c>
      <c r="K31" s="3">
        <v>2485</v>
      </c>
    </row>
    <row r="32" spans="2:11" x14ac:dyDescent="0.2">
      <c r="B32" s="1" t="s">
        <v>160</v>
      </c>
      <c r="C32" s="38">
        <v>8782</v>
      </c>
      <c r="D32" s="3">
        <v>3904</v>
      </c>
      <c r="E32" s="17" t="s">
        <v>38</v>
      </c>
      <c r="F32" s="3">
        <v>290</v>
      </c>
      <c r="G32" s="17" t="s">
        <v>24</v>
      </c>
      <c r="H32" s="17" t="s">
        <v>24</v>
      </c>
      <c r="I32" s="17" t="s">
        <v>24</v>
      </c>
      <c r="J32" s="17" t="s">
        <v>38</v>
      </c>
      <c r="K32" s="3">
        <v>2386</v>
      </c>
    </row>
    <row r="33" spans="2:11" s="29" customFormat="1" x14ac:dyDescent="0.2">
      <c r="B33" s="4" t="s">
        <v>161</v>
      </c>
      <c r="C33" s="14">
        <v>8019</v>
      </c>
      <c r="D33" s="39">
        <v>3547</v>
      </c>
      <c r="E33" s="40" t="s">
        <v>38</v>
      </c>
      <c r="F33" s="39">
        <v>366</v>
      </c>
      <c r="G33" s="40" t="s">
        <v>24</v>
      </c>
      <c r="H33" s="40" t="s">
        <v>24</v>
      </c>
      <c r="I33" s="40">
        <v>65</v>
      </c>
      <c r="J33" s="40" t="s">
        <v>38</v>
      </c>
      <c r="K33" s="39">
        <v>2426</v>
      </c>
    </row>
    <row r="34" spans="2:11" ht="18" thickBot="1" x14ac:dyDescent="0.25">
      <c r="B34" s="5"/>
      <c r="C34" s="41"/>
      <c r="D34" s="5"/>
      <c r="E34" s="5"/>
      <c r="F34" s="5"/>
      <c r="G34" s="5"/>
      <c r="H34" s="5"/>
      <c r="I34" s="5"/>
      <c r="J34" s="5"/>
      <c r="K34" s="5"/>
    </row>
    <row r="35" spans="2:11" x14ac:dyDescent="0.2">
      <c r="C35" s="7"/>
    </row>
    <row r="36" spans="2:11" x14ac:dyDescent="0.2">
      <c r="C36" s="7"/>
      <c r="D36" s="10"/>
      <c r="E36" s="26" t="s">
        <v>162</v>
      </c>
      <c r="F36" s="10"/>
      <c r="G36" s="10"/>
      <c r="H36" s="10"/>
      <c r="I36" s="10"/>
      <c r="J36" s="10"/>
      <c r="K36" s="10"/>
    </row>
    <row r="37" spans="2:11" x14ac:dyDescent="0.2">
      <c r="C37" s="8" t="s">
        <v>163</v>
      </c>
      <c r="D37" s="7"/>
      <c r="E37" s="7"/>
      <c r="F37" s="8" t="s">
        <v>136</v>
      </c>
      <c r="G37" s="7"/>
      <c r="H37" s="7"/>
      <c r="I37" s="7"/>
      <c r="J37" s="7"/>
      <c r="K37" s="8" t="s">
        <v>137</v>
      </c>
    </row>
    <row r="38" spans="2:11" x14ac:dyDescent="0.2">
      <c r="B38" s="10"/>
      <c r="C38" s="11"/>
      <c r="D38" s="35" t="s">
        <v>138</v>
      </c>
      <c r="E38" s="12" t="s">
        <v>139</v>
      </c>
      <c r="F38" s="35" t="s">
        <v>140</v>
      </c>
      <c r="G38" s="12" t="s">
        <v>141</v>
      </c>
      <c r="H38" s="12" t="s">
        <v>142</v>
      </c>
      <c r="I38" s="12" t="s">
        <v>143</v>
      </c>
      <c r="J38" s="36" t="s">
        <v>144</v>
      </c>
      <c r="K38" s="37" t="s">
        <v>115</v>
      </c>
    </row>
    <row r="39" spans="2:11" x14ac:dyDescent="0.2">
      <c r="C39" s="7"/>
    </row>
    <row r="40" spans="2:11" x14ac:dyDescent="0.2">
      <c r="B40" s="1" t="s">
        <v>145</v>
      </c>
      <c r="C40" s="38">
        <f>SUM(D40:K40)</f>
        <v>55543.199999999997</v>
      </c>
      <c r="D40" s="3">
        <f>17765-0.4</f>
        <v>17764.599999999999</v>
      </c>
      <c r="E40" s="3">
        <f>71-0.4</f>
        <v>70.599999999999994</v>
      </c>
      <c r="F40" s="3">
        <v>448</v>
      </c>
      <c r="G40" s="3">
        <v>503</v>
      </c>
      <c r="H40" s="3">
        <v>35269</v>
      </c>
      <c r="I40" s="3">
        <v>316</v>
      </c>
      <c r="J40" s="3">
        <v>968</v>
      </c>
      <c r="K40" s="3">
        <v>204</v>
      </c>
    </row>
    <row r="41" spans="2:11" x14ac:dyDescent="0.2">
      <c r="B41" s="1" t="s">
        <v>146</v>
      </c>
      <c r="C41" s="38">
        <f>SUM(D41:K41)</f>
        <v>61567</v>
      </c>
      <c r="D41" s="3">
        <v>17961</v>
      </c>
      <c r="E41" s="3">
        <v>74</v>
      </c>
      <c r="F41" s="3">
        <v>482</v>
      </c>
      <c r="G41" s="3">
        <v>754</v>
      </c>
      <c r="H41" s="3">
        <v>40027</v>
      </c>
      <c r="I41" s="3">
        <v>294</v>
      </c>
      <c r="J41" s="3">
        <v>1805</v>
      </c>
      <c r="K41" s="3">
        <v>170</v>
      </c>
    </row>
    <row r="42" spans="2:11" x14ac:dyDescent="0.2">
      <c r="B42" s="1" t="s">
        <v>147</v>
      </c>
      <c r="C42" s="38">
        <f>SUM(D42:K42)</f>
        <v>65049.399999999994</v>
      </c>
      <c r="D42" s="3">
        <v>15195</v>
      </c>
      <c r="E42" s="3">
        <v>91</v>
      </c>
      <c r="F42" s="3">
        <v>1984</v>
      </c>
      <c r="G42" s="3">
        <v>913</v>
      </c>
      <c r="H42" s="3">
        <f>44304-0.4</f>
        <v>44303.6</v>
      </c>
      <c r="I42" s="3">
        <f>286-0.4</f>
        <v>285.60000000000002</v>
      </c>
      <c r="J42" s="3">
        <f>1521-0.4</f>
        <v>1520.6</v>
      </c>
      <c r="K42" s="3">
        <v>756.6</v>
      </c>
    </row>
    <row r="43" spans="2:11" x14ac:dyDescent="0.2">
      <c r="C43" s="7"/>
    </row>
    <row r="44" spans="2:11" x14ac:dyDescent="0.2">
      <c r="B44" s="1" t="s">
        <v>148</v>
      </c>
      <c r="C44" s="38">
        <f>SUM(D44:K44)-1</f>
        <v>70809.800000000017</v>
      </c>
      <c r="D44" s="3">
        <f>15627-0.4</f>
        <v>15626.6</v>
      </c>
      <c r="E44" s="3">
        <f>117-0.4</f>
        <v>116.6</v>
      </c>
      <c r="F44" s="3">
        <f>1561-0.4</f>
        <v>1560.6</v>
      </c>
      <c r="G44" s="3">
        <f>935-0.4</f>
        <v>934.6</v>
      </c>
      <c r="H44" s="3">
        <f>49840-0.4</f>
        <v>49839.6</v>
      </c>
      <c r="I44" s="3">
        <f>403-0.4</f>
        <v>402.6</v>
      </c>
      <c r="J44" s="3">
        <f>1634-0.4</f>
        <v>1633.6</v>
      </c>
      <c r="K44" s="3">
        <v>696.6</v>
      </c>
    </row>
    <row r="45" spans="2:11" x14ac:dyDescent="0.2">
      <c r="B45" s="1" t="s">
        <v>149</v>
      </c>
      <c r="C45" s="38">
        <f>SUM(D45:K45)</f>
        <v>73701.2</v>
      </c>
      <c r="D45" s="3">
        <f>14984-0.4</f>
        <v>14983.6</v>
      </c>
      <c r="E45" s="3">
        <f>116-0.4</f>
        <v>115.6</v>
      </c>
      <c r="F45" s="3">
        <v>1304</v>
      </c>
      <c r="G45" s="3">
        <v>938</v>
      </c>
      <c r="H45" s="3">
        <v>53428</v>
      </c>
      <c r="I45" s="3">
        <v>461</v>
      </c>
      <c r="J45" s="3">
        <v>1610</v>
      </c>
      <c r="K45" s="3">
        <v>861</v>
      </c>
    </row>
    <row r="46" spans="2:11" x14ac:dyDescent="0.2">
      <c r="B46" s="1" t="s">
        <v>150</v>
      </c>
      <c r="C46" s="38">
        <f>SUM(D46:K46)</f>
        <v>76897.600000000006</v>
      </c>
      <c r="D46" s="3">
        <f>15051+0.4</f>
        <v>15051.4</v>
      </c>
      <c r="E46" s="3">
        <f>122+0.4</f>
        <v>122.4</v>
      </c>
      <c r="F46" s="3">
        <f>1382+0.4</f>
        <v>1382.4</v>
      </c>
      <c r="G46" s="3">
        <f>952+0.4</f>
        <v>952.4</v>
      </c>
      <c r="H46" s="3">
        <v>56180</v>
      </c>
      <c r="I46" s="3">
        <v>476</v>
      </c>
      <c r="J46" s="3">
        <v>1574</v>
      </c>
      <c r="K46" s="3">
        <v>1159</v>
      </c>
    </row>
    <row r="47" spans="2:11" x14ac:dyDescent="0.2">
      <c r="B47" s="1"/>
      <c r="C47" s="38"/>
      <c r="D47" s="3"/>
      <c r="E47" s="3"/>
      <c r="F47" s="3"/>
      <c r="G47" s="3"/>
      <c r="H47" s="3"/>
      <c r="I47" s="3"/>
      <c r="J47" s="3"/>
      <c r="K47" s="3"/>
    </row>
    <row r="48" spans="2:11" x14ac:dyDescent="0.2">
      <c r="B48" s="1" t="s">
        <v>151</v>
      </c>
      <c r="C48" s="38">
        <f>SUM(D48:K48)</f>
        <v>78716.2</v>
      </c>
      <c r="D48" s="3">
        <f>14784-0.4</f>
        <v>14783.6</v>
      </c>
      <c r="E48" s="3">
        <f>136-0.4</f>
        <v>135.6</v>
      </c>
      <c r="F48" s="3">
        <v>1346</v>
      </c>
      <c r="G48" s="3">
        <v>1010</v>
      </c>
      <c r="H48" s="3">
        <v>58311</v>
      </c>
      <c r="I48" s="3">
        <v>443</v>
      </c>
      <c r="J48" s="3">
        <v>1471</v>
      </c>
      <c r="K48" s="3">
        <v>1216</v>
      </c>
    </row>
    <row r="49" spans="1:11" x14ac:dyDescent="0.2">
      <c r="B49" s="1" t="s">
        <v>152</v>
      </c>
      <c r="C49" s="38">
        <f>SUM(D49:K49)</f>
        <v>78465.8</v>
      </c>
      <c r="D49" s="3">
        <f>14666+0.4</f>
        <v>14666.4</v>
      </c>
      <c r="E49" s="3">
        <f>162+0.4</f>
        <v>162.4</v>
      </c>
      <c r="F49" s="3">
        <v>1406</v>
      </c>
      <c r="G49" s="3">
        <v>987</v>
      </c>
      <c r="H49" s="3">
        <v>58200</v>
      </c>
      <c r="I49" s="3">
        <v>420</v>
      </c>
      <c r="J49" s="3">
        <v>1398</v>
      </c>
      <c r="K49" s="3">
        <v>1226</v>
      </c>
    </row>
    <row r="50" spans="1:11" x14ac:dyDescent="0.2">
      <c r="B50" s="1" t="s">
        <v>153</v>
      </c>
      <c r="C50" s="38">
        <f>SUM(D50:K50)+3</f>
        <v>80938</v>
      </c>
      <c r="D50" s="3">
        <v>14999</v>
      </c>
      <c r="E50" s="3">
        <v>253</v>
      </c>
      <c r="F50" s="3">
        <v>1675</v>
      </c>
      <c r="G50" s="3">
        <v>1336</v>
      </c>
      <c r="H50" s="3">
        <v>59197</v>
      </c>
      <c r="I50" s="3">
        <v>523</v>
      </c>
      <c r="J50" s="3">
        <v>1521</v>
      </c>
      <c r="K50" s="3">
        <v>1431</v>
      </c>
    </row>
    <row r="51" spans="1:11" x14ac:dyDescent="0.2">
      <c r="B51" s="1"/>
      <c r="C51" s="38"/>
      <c r="D51" s="3"/>
      <c r="E51" s="3"/>
      <c r="F51" s="3"/>
      <c r="G51" s="3"/>
      <c r="H51" s="3"/>
      <c r="I51" s="3"/>
      <c r="J51" s="3"/>
      <c r="K51" s="3"/>
    </row>
    <row r="52" spans="1:11" x14ac:dyDescent="0.2">
      <c r="B52" s="1" t="s">
        <v>154</v>
      </c>
      <c r="C52" s="38">
        <f>SUM(D52:K52)</f>
        <v>84262</v>
      </c>
      <c r="D52" s="3">
        <v>13726</v>
      </c>
      <c r="E52" s="3">
        <v>309</v>
      </c>
      <c r="F52" s="3">
        <v>1797</v>
      </c>
      <c r="G52" s="3">
        <v>1093</v>
      </c>
      <c r="H52" s="3">
        <v>63469</v>
      </c>
      <c r="I52" s="3">
        <v>577</v>
      </c>
      <c r="J52" s="3">
        <v>1384</v>
      </c>
      <c r="K52" s="3">
        <v>1907</v>
      </c>
    </row>
    <row r="53" spans="1:11" x14ac:dyDescent="0.2">
      <c r="B53" s="1" t="s">
        <v>155</v>
      </c>
      <c r="C53" s="38">
        <f>SUM(D53:K53)+2</f>
        <v>84834</v>
      </c>
      <c r="D53" s="3">
        <v>13976</v>
      </c>
      <c r="E53" s="3">
        <v>404</v>
      </c>
      <c r="F53" s="3">
        <v>2125</v>
      </c>
      <c r="G53" s="3">
        <v>1610</v>
      </c>
      <c r="H53" s="3">
        <v>59614</v>
      </c>
      <c r="I53" s="3">
        <v>761</v>
      </c>
      <c r="J53" s="3">
        <v>1497</v>
      </c>
      <c r="K53" s="3">
        <v>4845</v>
      </c>
    </row>
    <row r="54" spans="1:11" x14ac:dyDescent="0.2">
      <c r="B54" s="1" t="s">
        <v>156</v>
      </c>
      <c r="C54" s="38">
        <f>SUM(D54:K54)</f>
        <v>87932.800000000003</v>
      </c>
      <c r="D54" s="3">
        <v>13946.4</v>
      </c>
      <c r="E54" s="3">
        <v>447.4</v>
      </c>
      <c r="F54" s="3">
        <v>2324</v>
      </c>
      <c r="G54" s="3">
        <v>1253</v>
      </c>
      <c r="H54" s="3">
        <v>63164</v>
      </c>
      <c r="I54" s="3">
        <v>739</v>
      </c>
      <c r="J54" s="3">
        <v>1300</v>
      </c>
      <c r="K54" s="3">
        <v>4759</v>
      </c>
    </row>
    <row r="55" spans="1:11" x14ac:dyDescent="0.2">
      <c r="B55" s="1"/>
      <c r="C55" s="38"/>
      <c r="D55" s="3"/>
      <c r="E55" s="3"/>
      <c r="F55" s="3"/>
      <c r="G55" s="3"/>
      <c r="H55" s="3"/>
      <c r="I55" s="3"/>
      <c r="J55" s="3"/>
      <c r="K55" s="3"/>
    </row>
    <row r="56" spans="1:11" x14ac:dyDescent="0.2">
      <c r="B56" s="1" t="s">
        <v>157</v>
      </c>
      <c r="C56" s="38">
        <f>SUM(D56:K56)</f>
        <v>81734</v>
      </c>
      <c r="D56" s="3">
        <v>12360</v>
      </c>
      <c r="E56" s="3">
        <v>423</v>
      </c>
      <c r="F56" s="3">
        <v>2516</v>
      </c>
      <c r="G56" s="3">
        <v>1171</v>
      </c>
      <c r="H56" s="3">
        <v>57104</v>
      </c>
      <c r="I56" s="3">
        <v>999</v>
      </c>
      <c r="J56" s="3">
        <v>1181</v>
      </c>
      <c r="K56" s="3">
        <v>5980</v>
      </c>
    </row>
    <row r="57" spans="1:11" x14ac:dyDescent="0.2">
      <c r="B57" s="1" t="s">
        <v>164</v>
      </c>
      <c r="C57" s="38">
        <f>SUM(D57:K57)</f>
        <v>84482</v>
      </c>
      <c r="D57" s="3">
        <v>11595</v>
      </c>
      <c r="E57" s="3">
        <v>450</v>
      </c>
      <c r="F57" s="3">
        <v>2619</v>
      </c>
      <c r="G57" s="3">
        <v>1220</v>
      </c>
      <c r="H57" s="3">
        <v>55510</v>
      </c>
      <c r="I57" s="3">
        <v>1499</v>
      </c>
      <c r="J57" s="3">
        <v>1214</v>
      </c>
      <c r="K57" s="3">
        <v>10375</v>
      </c>
    </row>
    <row r="58" spans="1:11" x14ac:dyDescent="0.2">
      <c r="B58" s="1" t="s">
        <v>159</v>
      </c>
      <c r="C58" s="38">
        <f>SUM(D58:K58)</f>
        <v>83311</v>
      </c>
      <c r="D58" s="3">
        <v>11224</v>
      </c>
      <c r="E58" s="3">
        <v>439</v>
      </c>
      <c r="F58" s="3">
        <v>2995</v>
      </c>
      <c r="G58" s="3">
        <v>1228</v>
      </c>
      <c r="H58" s="3">
        <v>51234</v>
      </c>
      <c r="I58" s="3">
        <v>1346</v>
      </c>
      <c r="J58" s="3">
        <v>1133</v>
      </c>
      <c r="K58" s="3">
        <v>13712</v>
      </c>
    </row>
    <row r="59" spans="1:11" x14ac:dyDescent="0.2">
      <c r="B59" s="1" t="s">
        <v>160</v>
      </c>
      <c r="C59" s="38">
        <v>81737</v>
      </c>
      <c r="D59" s="3">
        <v>10732</v>
      </c>
      <c r="E59" s="3">
        <v>476</v>
      </c>
      <c r="F59" s="3">
        <v>3401</v>
      </c>
      <c r="G59" s="3">
        <v>1274</v>
      </c>
      <c r="H59" s="3">
        <v>47217</v>
      </c>
      <c r="I59" s="3">
        <v>1278</v>
      </c>
      <c r="J59" s="3">
        <v>1032</v>
      </c>
      <c r="K59" s="3">
        <v>16330</v>
      </c>
    </row>
    <row r="60" spans="1:11" s="29" customFormat="1" x14ac:dyDescent="0.2">
      <c r="B60" s="4" t="s">
        <v>161</v>
      </c>
      <c r="C60" s="14">
        <v>79338</v>
      </c>
      <c r="D60" s="39">
        <v>9617</v>
      </c>
      <c r="E60" s="39">
        <v>468</v>
      </c>
      <c r="F60" s="39">
        <v>3714</v>
      </c>
      <c r="G60" s="39">
        <v>1000</v>
      </c>
      <c r="H60" s="39">
        <v>40713</v>
      </c>
      <c r="I60" s="39">
        <v>1046</v>
      </c>
      <c r="J60" s="39">
        <v>794</v>
      </c>
      <c r="K60" s="39">
        <v>21991</v>
      </c>
    </row>
    <row r="61" spans="1:11" ht="18" thickBot="1" x14ac:dyDescent="0.25">
      <c r="B61" s="5"/>
      <c r="C61" s="41"/>
      <c r="D61" s="5"/>
      <c r="E61" s="5"/>
      <c r="F61" s="5"/>
      <c r="G61" s="5"/>
      <c r="H61" s="5"/>
      <c r="I61" s="5"/>
      <c r="J61" s="5"/>
      <c r="K61" s="5"/>
    </row>
    <row r="62" spans="1:11" x14ac:dyDescent="0.2">
      <c r="C62" s="1" t="s">
        <v>165</v>
      </c>
    </row>
    <row r="63" spans="1:11" x14ac:dyDescent="0.2">
      <c r="C63" s="1" t="s">
        <v>166</v>
      </c>
    </row>
    <row r="64" spans="1:11" x14ac:dyDescent="0.2">
      <c r="A64" s="1"/>
      <c r="C64" s="1"/>
    </row>
  </sheetData>
  <phoneticPr fontId="2"/>
  <pageMargins left="0.34" right="0.49" top="0.56999999999999995" bottom="0.59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06" transitionEvaluation="1"/>
  <dimension ref="A1:L127"/>
  <sheetViews>
    <sheetView showGridLines="0" topLeftCell="B106" zoomScale="75" zoomScaleNormal="75" workbookViewId="0">
      <selection activeCell="B89" sqref="B89:L89"/>
    </sheetView>
  </sheetViews>
  <sheetFormatPr defaultColWidth="12.125" defaultRowHeight="17.25" x14ac:dyDescent="0.2"/>
  <cols>
    <col min="1" max="1" width="13.375" style="43" customWidth="1"/>
    <col min="2" max="2" width="9.625" style="43" customWidth="1"/>
    <col min="3" max="3" width="12.125" style="43"/>
    <col min="4" max="4" width="12.375" style="43" bestFit="1" customWidth="1"/>
    <col min="5" max="12" width="12.25" style="43" bestFit="1" customWidth="1"/>
    <col min="13" max="256" width="12.125" style="43"/>
    <col min="257" max="257" width="13.375" style="43" customWidth="1"/>
    <col min="258" max="258" width="9.625" style="43" customWidth="1"/>
    <col min="259" max="259" width="12.125" style="43"/>
    <col min="260" max="260" width="12.375" style="43" bestFit="1" customWidth="1"/>
    <col min="261" max="268" width="12.25" style="43" bestFit="1" customWidth="1"/>
    <col min="269" max="512" width="12.125" style="43"/>
    <col min="513" max="513" width="13.375" style="43" customWidth="1"/>
    <col min="514" max="514" width="9.625" style="43" customWidth="1"/>
    <col min="515" max="515" width="12.125" style="43"/>
    <col min="516" max="516" width="12.375" style="43" bestFit="1" customWidth="1"/>
    <col min="517" max="524" width="12.25" style="43" bestFit="1" customWidth="1"/>
    <col min="525" max="768" width="12.125" style="43"/>
    <col min="769" max="769" width="13.375" style="43" customWidth="1"/>
    <col min="770" max="770" width="9.625" style="43" customWidth="1"/>
    <col min="771" max="771" width="12.125" style="43"/>
    <col min="772" max="772" width="12.375" style="43" bestFit="1" customWidth="1"/>
    <col min="773" max="780" width="12.25" style="43" bestFit="1" customWidth="1"/>
    <col min="781" max="1024" width="12.125" style="43"/>
    <col min="1025" max="1025" width="13.375" style="43" customWidth="1"/>
    <col min="1026" max="1026" width="9.625" style="43" customWidth="1"/>
    <col min="1027" max="1027" width="12.125" style="43"/>
    <col min="1028" max="1028" width="12.375" style="43" bestFit="1" customWidth="1"/>
    <col min="1029" max="1036" width="12.25" style="43" bestFit="1" customWidth="1"/>
    <col min="1037" max="1280" width="12.125" style="43"/>
    <col min="1281" max="1281" width="13.375" style="43" customWidth="1"/>
    <col min="1282" max="1282" width="9.625" style="43" customWidth="1"/>
    <col min="1283" max="1283" width="12.125" style="43"/>
    <col min="1284" max="1284" width="12.375" style="43" bestFit="1" customWidth="1"/>
    <col min="1285" max="1292" width="12.25" style="43" bestFit="1" customWidth="1"/>
    <col min="1293" max="1536" width="12.125" style="43"/>
    <col min="1537" max="1537" width="13.375" style="43" customWidth="1"/>
    <col min="1538" max="1538" width="9.625" style="43" customWidth="1"/>
    <col min="1539" max="1539" width="12.125" style="43"/>
    <col min="1540" max="1540" width="12.375" style="43" bestFit="1" customWidth="1"/>
    <col min="1541" max="1548" width="12.25" style="43" bestFit="1" customWidth="1"/>
    <col min="1549" max="1792" width="12.125" style="43"/>
    <col min="1793" max="1793" width="13.375" style="43" customWidth="1"/>
    <col min="1794" max="1794" width="9.625" style="43" customWidth="1"/>
    <col min="1795" max="1795" width="12.125" style="43"/>
    <col min="1796" max="1796" width="12.375" style="43" bestFit="1" customWidth="1"/>
    <col min="1797" max="1804" width="12.25" style="43" bestFit="1" customWidth="1"/>
    <col min="1805" max="2048" width="12.125" style="43"/>
    <col min="2049" max="2049" width="13.375" style="43" customWidth="1"/>
    <col min="2050" max="2050" width="9.625" style="43" customWidth="1"/>
    <col min="2051" max="2051" width="12.125" style="43"/>
    <col min="2052" max="2052" width="12.375" style="43" bestFit="1" customWidth="1"/>
    <col min="2053" max="2060" width="12.25" style="43" bestFit="1" customWidth="1"/>
    <col min="2061" max="2304" width="12.125" style="43"/>
    <col min="2305" max="2305" width="13.375" style="43" customWidth="1"/>
    <col min="2306" max="2306" width="9.625" style="43" customWidth="1"/>
    <col min="2307" max="2307" width="12.125" style="43"/>
    <col min="2308" max="2308" width="12.375" style="43" bestFit="1" customWidth="1"/>
    <col min="2309" max="2316" width="12.25" style="43" bestFit="1" customWidth="1"/>
    <col min="2317" max="2560" width="12.125" style="43"/>
    <col min="2561" max="2561" width="13.375" style="43" customWidth="1"/>
    <col min="2562" max="2562" width="9.625" style="43" customWidth="1"/>
    <col min="2563" max="2563" width="12.125" style="43"/>
    <col min="2564" max="2564" width="12.375" style="43" bestFit="1" customWidth="1"/>
    <col min="2565" max="2572" width="12.25" style="43" bestFit="1" customWidth="1"/>
    <col min="2573" max="2816" width="12.125" style="43"/>
    <col min="2817" max="2817" width="13.375" style="43" customWidth="1"/>
    <col min="2818" max="2818" width="9.625" style="43" customWidth="1"/>
    <col min="2819" max="2819" width="12.125" style="43"/>
    <col min="2820" max="2820" width="12.375" style="43" bestFit="1" customWidth="1"/>
    <col min="2821" max="2828" width="12.25" style="43" bestFit="1" customWidth="1"/>
    <col min="2829" max="3072" width="12.125" style="43"/>
    <col min="3073" max="3073" width="13.375" style="43" customWidth="1"/>
    <col min="3074" max="3074" width="9.625" style="43" customWidth="1"/>
    <col min="3075" max="3075" width="12.125" style="43"/>
    <col min="3076" max="3076" width="12.375" style="43" bestFit="1" customWidth="1"/>
    <col min="3077" max="3084" width="12.25" style="43" bestFit="1" customWidth="1"/>
    <col min="3085" max="3328" width="12.125" style="43"/>
    <col min="3329" max="3329" width="13.375" style="43" customWidth="1"/>
    <col min="3330" max="3330" width="9.625" style="43" customWidth="1"/>
    <col min="3331" max="3331" width="12.125" style="43"/>
    <col min="3332" max="3332" width="12.375" style="43" bestFit="1" customWidth="1"/>
    <col min="3333" max="3340" width="12.25" style="43" bestFit="1" customWidth="1"/>
    <col min="3341" max="3584" width="12.125" style="43"/>
    <col min="3585" max="3585" width="13.375" style="43" customWidth="1"/>
    <col min="3586" max="3586" width="9.625" style="43" customWidth="1"/>
    <col min="3587" max="3587" width="12.125" style="43"/>
    <col min="3588" max="3588" width="12.375" style="43" bestFit="1" customWidth="1"/>
    <col min="3589" max="3596" width="12.25" style="43" bestFit="1" customWidth="1"/>
    <col min="3597" max="3840" width="12.125" style="43"/>
    <col min="3841" max="3841" width="13.375" style="43" customWidth="1"/>
    <col min="3842" max="3842" width="9.625" style="43" customWidth="1"/>
    <col min="3843" max="3843" width="12.125" style="43"/>
    <col min="3844" max="3844" width="12.375" style="43" bestFit="1" customWidth="1"/>
    <col min="3845" max="3852" width="12.25" style="43" bestFit="1" customWidth="1"/>
    <col min="3853" max="4096" width="12.125" style="43"/>
    <col min="4097" max="4097" width="13.375" style="43" customWidth="1"/>
    <col min="4098" max="4098" width="9.625" style="43" customWidth="1"/>
    <col min="4099" max="4099" width="12.125" style="43"/>
    <col min="4100" max="4100" width="12.375" style="43" bestFit="1" customWidth="1"/>
    <col min="4101" max="4108" width="12.25" style="43" bestFit="1" customWidth="1"/>
    <col min="4109" max="4352" width="12.125" style="43"/>
    <col min="4353" max="4353" width="13.375" style="43" customWidth="1"/>
    <col min="4354" max="4354" width="9.625" style="43" customWidth="1"/>
    <col min="4355" max="4355" width="12.125" style="43"/>
    <col min="4356" max="4356" width="12.375" style="43" bestFit="1" customWidth="1"/>
    <col min="4357" max="4364" width="12.25" style="43" bestFit="1" customWidth="1"/>
    <col min="4365" max="4608" width="12.125" style="43"/>
    <col min="4609" max="4609" width="13.375" style="43" customWidth="1"/>
    <col min="4610" max="4610" width="9.625" style="43" customWidth="1"/>
    <col min="4611" max="4611" width="12.125" style="43"/>
    <col min="4612" max="4612" width="12.375" style="43" bestFit="1" customWidth="1"/>
    <col min="4613" max="4620" width="12.25" style="43" bestFit="1" customWidth="1"/>
    <col min="4621" max="4864" width="12.125" style="43"/>
    <col min="4865" max="4865" width="13.375" style="43" customWidth="1"/>
    <col min="4866" max="4866" width="9.625" style="43" customWidth="1"/>
    <col min="4867" max="4867" width="12.125" style="43"/>
    <col min="4868" max="4868" width="12.375" style="43" bestFit="1" customWidth="1"/>
    <col min="4869" max="4876" width="12.25" style="43" bestFit="1" customWidth="1"/>
    <col min="4877" max="5120" width="12.125" style="43"/>
    <col min="5121" max="5121" width="13.375" style="43" customWidth="1"/>
    <col min="5122" max="5122" width="9.625" style="43" customWidth="1"/>
    <col min="5123" max="5123" width="12.125" style="43"/>
    <col min="5124" max="5124" width="12.375" style="43" bestFit="1" customWidth="1"/>
    <col min="5125" max="5132" width="12.25" style="43" bestFit="1" customWidth="1"/>
    <col min="5133" max="5376" width="12.125" style="43"/>
    <col min="5377" max="5377" width="13.375" style="43" customWidth="1"/>
    <col min="5378" max="5378" width="9.625" style="43" customWidth="1"/>
    <col min="5379" max="5379" width="12.125" style="43"/>
    <col min="5380" max="5380" width="12.375" style="43" bestFit="1" customWidth="1"/>
    <col min="5381" max="5388" width="12.25" style="43" bestFit="1" customWidth="1"/>
    <col min="5389" max="5632" width="12.125" style="43"/>
    <col min="5633" max="5633" width="13.375" style="43" customWidth="1"/>
    <col min="5634" max="5634" width="9.625" style="43" customWidth="1"/>
    <col min="5635" max="5635" width="12.125" style="43"/>
    <col min="5636" max="5636" width="12.375" style="43" bestFit="1" customWidth="1"/>
    <col min="5637" max="5644" width="12.25" style="43" bestFit="1" customWidth="1"/>
    <col min="5645" max="5888" width="12.125" style="43"/>
    <col min="5889" max="5889" width="13.375" style="43" customWidth="1"/>
    <col min="5890" max="5890" width="9.625" style="43" customWidth="1"/>
    <col min="5891" max="5891" width="12.125" style="43"/>
    <col min="5892" max="5892" width="12.375" style="43" bestFit="1" customWidth="1"/>
    <col min="5893" max="5900" width="12.25" style="43" bestFit="1" customWidth="1"/>
    <col min="5901" max="6144" width="12.125" style="43"/>
    <col min="6145" max="6145" width="13.375" style="43" customWidth="1"/>
    <col min="6146" max="6146" width="9.625" style="43" customWidth="1"/>
    <col min="6147" max="6147" width="12.125" style="43"/>
    <col min="6148" max="6148" width="12.375" style="43" bestFit="1" customWidth="1"/>
    <col min="6149" max="6156" width="12.25" style="43" bestFit="1" customWidth="1"/>
    <col min="6157" max="6400" width="12.125" style="43"/>
    <col min="6401" max="6401" width="13.375" style="43" customWidth="1"/>
    <col min="6402" max="6402" width="9.625" style="43" customWidth="1"/>
    <col min="6403" max="6403" width="12.125" style="43"/>
    <col min="6404" max="6404" width="12.375" style="43" bestFit="1" customWidth="1"/>
    <col min="6405" max="6412" width="12.25" style="43" bestFit="1" customWidth="1"/>
    <col min="6413" max="6656" width="12.125" style="43"/>
    <col min="6657" max="6657" width="13.375" style="43" customWidth="1"/>
    <col min="6658" max="6658" width="9.625" style="43" customWidth="1"/>
    <col min="6659" max="6659" width="12.125" style="43"/>
    <col min="6660" max="6660" width="12.375" style="43" bestFit="1" customWidth="1"/>
    <col min="6661" max="6668" width="12.25" style="43" bestFit="1" customWidth="1"/>
    <col min="6669" max="6912" width="12.125" style="43"/>
    <col min="6913" max="6913" width="13.375" style="43" customWidth="1"/>
    <col min="6914" max="6914" width="9.625" style="43" customWidth="1"/>
    <col min="6915" max="6915" width="12.125" style="43"/>
    <col min="6916" max="6916" width="12.375" style="43" bestFit="1" customWidth="1"/>
    <col min="6917" max="6924" width="12.25" style="43" bestFit="1" customWidth="1"/>
    <col min="6925" max="7168" width="12.125" style="43"/>
    <col min="7169" max="7169" width="13.375" style="43" customWidth="1"/>
    <col min="7170" max="7170" width="9.625" style="43" customWidth="1"/>
    <col min="7171" max="7171" width="12.125" style="43"/>
    <col min="7172" max="7172" width="12.375" style="43" bestFit="1" customWidth="1"/>
    <col min="7173" max="7180" width="12.25" style="43" bestFit="1" customWidth="1"/>
    <col min="7181" max="7424" width="12.125" style="43"/>
    <col min="7425" max="7425" width="13.375" style="43" customWidth="1"/>
    <col min="7426" max="7426" width="9.625" style="43" customWidth="1"/>
    <col min="7427" max="7427" width="12.125" style="43"/>
    <col min="7428" max="7428" width="12.375" style="43" bestFit="1" customWidth="1"/>
    <col min="7429" max="7436" width="12.25" style="43" bestFit="1" customWidth="1"/>
    <col min="7437" max="7680" width="12.125" style="43"/>
    <col min="7681" max="7681" width="13.375" style="43" customWidth="1"/>
    <col min="7682" max="7682" width="9.625" style="43" customWidth="1"/>
    <col min="7683" max="7683" width="12.125" style="43"/>
    <col min="7684" max="7684" width="12.375" style="43" bestFit="1" customWidth="1"/>
    <col min="7685" max="7692" width="12.25" style="43" bestFit="1" customWidth="1"/>
    <col min="7693" max="7936" width="12.125" style="43"/>
    <col min="7937" max="7937" width="13.375" style="43" customWidth="1"/>
    <col min="7938" max="7938" width="9.625" style="43" customWidth="1"/>
    <col min="7939" max="7939" width="12.125" style="43"/>
    <col min="7940" max="7940" width="12.375" style="43" bestFit="1" customWidth="1"/>
    <col min="7941" max="7948" width="12.25" style="43" bestFit="1" customWidth="1"/>
    <col min="7949" max="8192" width="12.125" style="43"/>
    <col min="8193" max="8193" width="13.375" style="43" customWidth="1"/>
    <col min="8194" max="8194" width="9.625" style="43" customWidth="1"/>
    <col min="8195" max="8195" width="12.125" style="43"/>
    <col min="8196" max="8196" width="12.375" style="43" bestFit="1" customWidth="1"/>
    <col min="8197" max="8204" width="12.25" style="43" bestFit="1" customWidth="1"/>
    <col min="8205" max="8448" width="12.125" style="43"/>
    <col min="8449" max="8449" width="13.375" style="43" customWidth="1"/>
    <col min="8450" max="8450" width="9.625" style="43" customWidth="1"/>
    <col min="8451" max="8451" width="12.125" style="43"/>
    <col min="8452" max="8452" width="12.375" style="43" bestFit="1" customWidth="1"/>
    <col min="8453" max="8460" width="12.25" style="43" bestFit="1" customWidth="1"/>
    <col min="8461" max="8704" width="12.125" style="43"/>
    <col min="8705" max="8705" width="13.375" style="43" customWidth="1"/>
    <col min="8706" max="8706" width="9.625" style="43" customWidth="1"/>
    <col min="8707" max="8707" width="12.125" style="43"/>
    <col min="8708" max="8708" width="12.375" style="43" bestFit="1" customWidth="1"/>
    <col min="8709" max="8716" width="12.25" style="43" bestFit="1" customWidth="1"/>
    <col min="8717" max="8960" width="12.125" style="43"/>
    <col min="8961" max="8961" width="13.375" style="43" customWidth="1"/>
    <col min="8962" max="8962" width="9.625" style="43" customWidth="1"/>
    <col min="8963" max="8963" width="12.125" style="43"/>
    <col min="8964" max="8964" width="12.375" style="43" bestFit="1" customWidth="1"/>
    <col min="8965" max="8972" width="12.25" style="43" bestFit="1" customWidth="1"/>
    <col min="8973" max="9216" width="12.125" style="43"/>
    <col min="9217" max="9217" width="13.375" style="43" customWidth="1"/>
    <col min="9218" max="9218" width="9.625" style="43" customWidth="1"/>
    <col min="9219" max="9219" width="12.125" style="43"/>
    <col min="9220" max="9220" width="12.375" style="43" bestFit="1" customWidth="1"/>
    <col min="9221" max="9228" width="12.25" style="43" bestFit="1" customWidth="1"/>
    <col min="9229" max="9472" width="12.125" style="43"/>
    <col min="9473" max="9473" width="13.375" style="43" customWidth="1"/>
    <col min="9474" max="9474" width="9.625" style="43" customWidth="1"/>
    <col min="9475" max="9475" width="12.125" style="43"/>
    <col min="9476" max="9476" width="12.375" style="43" bestFit="1" customWidth="1"/>
    <col min="9477" max="9484" width="12.25" style="43" bestFit="1" customWidth="1"/>
    <col min="9485" max="9728" width="12.125" style="43"/>
    <col min="9729" max="9729" width="13.375" style="43" customWidth="1"/>
    <col min="9730" max="9730" width="9.625" style="43" customWidth="1"/>
    <col min="9731" max="9731" width="12.125" style="43"/>
    <col min="9732" max="9732" width="12.375" style="43" bestFit="1" customWidth="1"/>
    <col min="9733" max="9740" width="12.25" style="43" bestFit="1" customWidth="1"/>
    <col min="9741" max="9984" width="12.125" style="43"/>
    <col min="9985" max="9985" width="13.375" style="43" customWidth="1"/>
    <col min="9986" max="9986" width="9.625" style="43" customWidth="1"/>
    <col min="9987" max="9987" width="12.125" style="43"/>
    <col min="9988" max="9988" width="12.375" style="43" bestFit="1" customWidth="1"/>
    <col min="9989" max="9996" width="12.25" style="43" bestFit="1" customWidth="1"/>
    <col min="9997" max="10240" width="12.125" style="43"/>
    <col min="10241" max="10241" width="13.375" style="43" customWidth="1"/>
    <col min="10242" max="10242" width="9.625" style="43" customWidth="1"/>
    <col min="10243" max="10243" width="12.125" style="43"/>
    <col min="10244" max="10244" width="12.375" style="43" bestFit="1" customWidth="1"/>
    <col min="10245" max="10252" width="12.25" style="43" bestFit="1" customWidth="1"/>
    <col min="10253" max="10496" width="12.125" style="43"/>
    <col min="10497" max="10497" width="13.375" style="43" customWidth="1"/>
    <col min="10498" max="10498" width="9.625" style="43" customWidth="1"/>
    <col min="10499" max="10499" width="12.125" style="43"/>
    <col min="10500" max="10500" width="12.375" style="43" bestFit="1" customWidth="1"/>
    <col min="10501" max="10508" width="12.25" style="43" bestFit="1" customWidth="1"/>
    <col min="10509" max="10752" width="12.125" style="43"/>
    <col min="10753" max="10753" width="13.375" style="43" customWidth="1"/>
    <col min="10754" max="10754" width="9.625" style="43" customWidth="1"/>
    <col min="10755" max="10755" width="12.125" style="43"/>
    <col min="10756" max="10756" width="12.375" style="43" bestFit="1" customWidth="1"/>
    <col min="10757" max="10764" width="12.25" style="43" bestFit="1" customWidth="1"/>
    <col min="10765" max="11008" width="12.125" style="43"/>
    <col min="11009" max="11009" width="13.375" style="43" customWidth="1"/>
    <col min="11010" max="11010" width="9.625" style="43" customWidth="1"/>
    <col min="11011" max="11011" width="12.125" style="43"/>
    <col min="11012" max="11012" width="12.375" style="43" bestFit="1" customWidth="1"/>
    <col min="11013" max="11020" width="12.25" style="43" bestFit="1" customWidth="1"/>
    <col min="11021" max="11264" width="12.125" style="43"/>
    <col min="11265" max="11265" width="13.375" style="43" customWidth="1"/>
    <col min="11266" max="11266" width="9.625" style="43" customWidth="1"/>
    <col min="11267" max="11267" width="12.125" style="43"/>
    <col min="11268" max="11268" width="12.375" style="43" bestFit="1" customWidth="1"/>
    <col min="11269" max="11276" width="12.25" style="43" bestFit="1" customWidth="1"/>
    <col min="11277" max="11520" width="12.125" style="43"/>
    <col min="11521" max="11521" width="13.375" style="43" customWidth="1"/>
    <col min="11522" max="11522" width="9.625" style="43" customWidth="1"/>
    <col min="11523" max="11523" width="12.125" style="43"/>
    <col min="11524" max="11524" width="12.375" style="43" bestFit="1" customWidth="1"/>
    <col min="11525" max="11532" width="12.25" style="43" bestFit="1" customWidth="1"/>
    <col min="11533" max="11776" width="12.125" style="43"/>
    <col min="11777" max="11777" width="13.375" style="43" customWidth="1"/>
    <col min="11778" max="11778" width="9.625" style="43" customWidth="1"/>
    <col min="11779" max="11779" width="12.125" style="43"/>
    <col min="11780" max="11780" width="12.375" style="43" bestFit="1" customWidth="1"/>
    <col min="11781" max="11788" width="12.25" style="43" bestFit="1" customWidth="1"/>
    <col min="11789" max="12032" width="12.125" style="43"/>
    <col min="12033" max="12033" width="13.375" style="43" customWidth="1"/>
    <col min="12034" max="12034" width="9.625" style="43" customWidth="1"/>
    <col min="12035" max="12035" width="12.125" style="43"/>
    <col min="12036" max="12036" width="12.375" style="43" bestFit="1" customWidth="1"/>
    <col min="12037" max="12044" width="12.25" style="43" bestFit="1" customWidth="1"/>
    <col min="12045" max="12288" width="12.125" style="43"/>
    <col min="12289" max="12289" width="13.375" style="43" customWidth="1"/>
    <col min="12290" max="12290" width="9.625" style="43" customWidth="1"/>
    <col min="12291" max="12291" width="12.125" style="43"/>
    <col min="12292" max="12292" width="12.375" style="43" bestFit="1" customWidth="1"/>
    <col min="12293" max="12300" width="12.25" style="43" bestFit="1" customWidth="1"/>
    <col min="12301" max="12544" width="12.125" style="43"/>
    <col min="12545" max="12545" width="13.375" style="43" customWidth="1"/>
    <col min="12546" max="12546" width="9.625" style="43" customWidth="1"/>
    <col min="12547" max="12547" width="12.125" style="43"/>
    <col min="12548" max="12548" width="12.375" style="43" bestFit="1" customWidth="1"/>
    <col min="12549" max="12556" width="12.25" style="43" bestFit="1" customWidth="1"/>
    <col min="12557" max="12800" width="12.125" style="43"/>
    <col min="12801" max="12801" width="13.375" style="43" customWidth="1"/>
    <col min="12802" max="12802" width="9.625" style="43" customWidth="1"/>
    <col min="12803" max="12803" width="12.125" style="43"/>
    <col min="12804" max="12804" width="12.375" style="43" bestFit="1" customWidth="1"/>
    <col min="12805" max="12812" width="12.25" style="43" bestFit="1" customWidth="1"/>
    <col min="12813" max="13056" width="12.125" style="43"/>
    <col min="13057" max="13057" width="13.375" style="43" customWidth="1"/>
    <col min="13058" max="13058" width="9.625" style="43" customWidth="1"/>
    <col min="13059" max="13059" width="12.125" style="43"/>
    <col min="13060" max="13060" width="12.375" style="43" bestFit="1" customWidth="1"/>
    <col min="13061" max="13068" width="12.25" style="43" bestFit="1" customWidth="1"/>
    <col min="13069" max="13312" width="12.125" style="43"/>
    <col min="13313" max="13313" width="13.375" style="43" customWidth="1"/>
    <col min="13314" max="13314" width="9.625" style="43" customWidth="1"/>
    <col min="13315" max="13315" width="12.125" style="43"/>
    <col min="13316" max="13316" width="12.375" style="43" bestFit="1" customWidth="1"/>
    <col min="13317" max="13324" width="12.25" style="43" bestFit="1" customWidth="1"/>
    <col min="13325" max="13568" width="12.125" style="43"/>
    <col min="13569" max="13569" width="13.375" style="43" customWidth="1"/>
    <col min="13570" max="13570" width="9.625" style="43" customWidth="1"/>
    <col min="13571" max="13571" width="12.125" style="43"/>
    <col min="13572" max="13572" width="12.375" style="43" bestFit="1" customWidth="1"/>
    <col min="13573" max="13580" width="12.25" style="43" bestFit="1" customWidth="1"/>
    <col min="13581" max="13824" width="12.125" style="43"/>
    <col min="13825" max="13825" width="13.375" style="43" customWidth="1"/>
    <col min="13826" max="13826" width="9.625" style="43" customWidth="1"/>
    <col min="13827" max="13827" width="12.125" style="43"/>
    <col min="13828" max="13828" width="12.375" style="43" bestFit="1" customWidth="1"/>
    <col min="13829" max="13836" width="12.25" style="43" bestFit="1" customWidth="1"/>
    <col min="13837" max="14080" width="12.125" style="43"/>
    <col min="14081" max="14081" width="13.375" style="43" customWidth="1"/>
    <col min="14082" max="14082" width="9.625" style="43" customWidth="1"/>
    <col min="14083" max="14083" width="12.125" style="43"/>
    <col min="14084" max="14084" width="12.375" style="43" bestFit="1" customWidth="1"/>
    <col min="14085" max="14092" width="12.25" style="43" bestFit="1" customWidth="1"/>
    <col min="14093" max="14336" width="12.125" style="43"/>
    <col min="14337" max="14337" width="13.375" style="43" customWidth="1"/>
    <col min="14338" max="14338" width="9.625" style="43" customWidth="1"/>
    <col min="14339" max="14339" width="12.125" style="43"/>
    <col min="14340" max="14340" width="12.375" style="43" bestFit="1" customWidth="1"/>
    <col min="14341" max="14348" width="12.25" style="43" bestFit="1" customWidth="1"/>
    <col min="14349" max="14592" width="12.125" style="43"/>
    <col min="14593" max="14593" width="13.375" style="43" customWidth="1"/>
    <col min="14594" max="14594" width="9.625" style="43" customWidth="1"/>
    <col min="14595" max="14595" width="12.125" style="43"/>
    <col min="14596" max="14596" width="12.375" style="43" bestFit="1" customWidth="1"/>
    <col min="14597" max="14604" width="12.25" style="43" bestFit="1" customWidth="1"/>
    <col min="14605" max="14848" width="12.125" style="43"/>
    <col min="14849" max="14849" width="13.375" style="43" customWidth="1"/>
    <col min="14850" max="14850" width="9.625" style="43" customWidth="1"/>
    <col min="14851" max="14851" width="12.125" style="43"/>
    <col min="14852" max="14852" width="12.375" style="43" bestFit="1" customWidth="1"/>
    <col min="14853" max="14860" width="12.25" style="43" bestFit="1" customWidth="1"/>
    <col min="14861" max="15104" width="12.125" style="43"/>
    <col min="15105" max="15105" width="13.375" style="43" customWidth="1"/>
    <col min="15106" max="15106" width="9.625" style="43" customWidth="1"/>
    <col min="15107" max="15107" width="12.125" style="43"/>
    <col min="15108" max="15108" width="12.375" style="43" bestFit="1" customWidth="1"/>
    <col min="15109" max="15116" width="12.25" style="43" bestFit="1" customWidth="1"/>
    <col min="15117" max="15360" width="12.125" style="43"/>
    <col min="15361" max="15361" width="13.375" style="43" customWidth="1"/>
    <col min="15362" max="15362" width="9.625" style="43" customWidth="1"/>
    <col min="15363" max="15363" width="12.125" style="43"/>
    <col min="15364" max="15364" width="12.375" style="43" bestFit="1" customWidth="1"/>
    <col min="15365" max="15372" width="12.25" style="43" bestFit="1" customWidth="1"/>
    <col min="15373" max="15616" width="12.125" style="43"/>
    <col min="15617" max="15617" width="13.375" style="43" customWidth="1"/>
    <col min="15618" max="15618" width="9.625" style="43" customWidth="1"/>
    <col min="15619" max="15619" width="12.125" style="43"/>
    <col min="15620" max="15620" width="12.375" style="43" bestFit="1" customWidth="1"/>
    <col min="15621" max="15628" width="12.25" style="43" bestFit="1" customWidth="1"/>
    <col min="15629" max="15872" width="12.125" style="43"/>
    <col min="15873" max="15873" width="13.375" style="43" customWidth="1"/>
    <col min="15874" max="15874" width="9.625" style="43" customWidth="1"/>
    <col min="15875" max="15875" width="12.125" style="43"/>
    <col min="15876" max="15876" width="12.375" style="43" bestFit="1" customWidth="1"/>
    <col min="15877" max="15884" width="12.25" style="43" bestFit="1" customWidth="1"/>
    <col min="15885" max="16128" width="12.125" style="43"/>
    <col min="16129" max="16129" width="13.375" style="43" customWidth="1"/>
    <col min="16130" max="16130" width="9.625" style="43" customWidth="1"/>
    <col min="16131" max="16131" width="12.125" style="43"/>
    <col min="16132" max="16132" width="12.375" style="43" bestFit="1" customWidth="1"/>
    <col min="16133" max="16140" width="12.25" style="43" bestFit="1" customWidth="1"/>
    <col min="16141" max="16384" width="12.125" style="43"/>
  </cols>
  <sheetData>
    <row r="1" spans="1:12" x14ac:dyDescent="0.2">
      <c r="A1" s="42"/>
    </row>
    <row r="6" spans="1:12" x14ac:dyDescent="0.2">
      <c r="D6" s="44" t="s">
        <v>167</v>
      </c>
    </row>
    <row r="7" spans="1:12" ht="18" thickBot="1" x14ac:dyDescent="0.25">
      <c r="B7" s="45"/>
      <c r="C7" s="45"/>
      <c r="D7" s="45"/>
      <c r="E7" s="45"/>
      <c r="F7" s="45"/>
      <c r="G7" s="45"/>
      <c r="H7" s="46"/>
      <c r="I7" s="47"/>
      <c r="J7" s="46" t="s">
        <v>168</v>
      </c>
    </row>
    <row r="8" spans="1:12" x14ac:dyDescent="0.2">
      <c r="D8" s="48"/>
      <c r="E8" s="48"/>
      <c r="F8" s="48"/>
      <c r="G8" s="48"/>
      <c r="H8" s="48"/>
      <c r="I8" s="48"/>
      <c r="J8" s="48"/>
      <c r="K8" s="49"/>
      <c r="L8" s="49"/>
    </row>
    <row r="9" spans="1:12" x14ac:dyDescent="0.2">
      <c r="D9" s="50"/>
      <c r="E9" s="48"/>
      <c r="F9" s="48"/>
      <c r="G9" s="48"/>
      <c r="H9" s="48"/>
      <c r="I9" s="48"/>
      <c r="J9" s="48"/>
      <c r="K9" s="51"/>
      <c r="L9" s="51"/>
    </row>
    <row r="10" spans="1:12" x14ac:dyDescent="0.2">
      <c r="D10" s="52" t="s">
        <v>169</v>
      </c>
      <c r="E10" s="50"/>
      <c r="F10" s="52" t="s">
        <v>170</v>
      </c>
      <c r="G10" s="52" t="s">
        <v>171</v>
      </c>
      <c r="H10" s="52" t="s">
        <v>172</v>
      </c>
      <c r="I10" s="52" t="s">
        <v>173</v>
      </c>
      <c r="J10" s="52" t="s">
        <v>174</v>
      </c>
      <c r="K10" s="53" t="s">
        <v>175</v>
      </c>
      <c r="L10" s="54" t="s">
        <v>176</v>
      </c>
    </row>
    <row r="11" spans="1:12" x14ac:dyDescent="0.2">
      <c r="B11" s="48"/>
      <c r="C11" s="48"/>
      <c r="D11" s="55"/>
      <c r="E11" s="56" t="s">
        <v>177</v>
      </c>
      <c r="F11" s="56" t="s">
        <v>178</v>
      </c>
      <c r="G11" s="56" t="s">
        <v>179</v>
      </c>
      <c r="H11" s="56" t="s">
        <v>180</v>
      </c>
      <c r="I11" s="56" t="s">
        <v>180</v>
      </c>
      <c r="J11" s="56" t="s">
        <v>180</v>
      </c>
      <c r="K11" s="56" t="s">
        <v>181</v>
      </c>
      <c r="L11" s="57" t="s">
        <v>182</v>
      </c>
    </row>
    <row r="12" spans="1:12" x14ac:dyDescent="0.2">
      <c r="C12" s="58"/>
    </row>
    <row r="13" spans="1:12" x14ac:dyDescent="0.2">
      <c r="B13" s="59" t="s">
        <v>183</v>
      </c>
      <c r="C13" s="60"/>
      <c r="D13" s="61">
        <v>171</v>
      </c>
      <c r="E13" s="62">
        <v>26</v>
      </c>
      <c r="F13" s="62">
        <v>4</v>
      </c>
      <c r="G13" s="62">
        <v>6</v>
      </c>
      <c r="H13" s="62">
        <v>17</v>
      </c>
      <c r="I13" s="62">
        <v>4</v>
      </c>
      <c r="J13" s="62">
        <v>1</v>
      </c>
      <c r="K13" s="62">
        <v>6</v>
      </c>
      <c r="L13" s="62">
        <v>46</v>
      </c>
    </row>
    <row r="14" spans="1:12" x14ac:dyDescent="0.2">
      <c r="B14" s="59" t="s">
        <v>184</v>
      </c>
      <c r="C14" s="60"/>
      <c r="D14" s="63">
        <f>SUM(E14:L14,D77:I77)</f>
        <v>10000</v>
      </c>
      <c r="E14" s="64">
        <v>1441.3</v>
      </c>
      <c r="F14" s="64">
        <v>39.700000000000003</v>
      </c>
      <c r="G14" s="64">
        <v>518.4</v>
      </c>
      <c r="H14" s="64">
        <v>1568.7</v>
      </c>
      <c r="I14" s="64">
        <v>280.8</v>
      </c>
      <c r="J14" s="64">
        <v>1.9</v>
      </c>
      <c r="K14" s="65">
        <v>310.10000000000002</v>
      </c>
      <c r="L14" s="65">
        <v>2681.3</v>
      </c>
    </row>
    <row r="15" spans="1:12" x14ac:dyDescent="0.2">
      <c r="C15" s="66"/>
      <c r="D15" s="67"/>
      <c r="E15" s="67"/>
      <c r="F15" s="44" t="s">
        <v>185</v>
      </c>
      <c r="G15" s="67"/>
      <c r="H15" s="67"/>
      <c r="I15" s="67"/>
      <c r="J15" s="67"/>
      <c r="K15" s="67"/>
      <c r="L15" s="67"/>
    </row>
    <row r="16" spans="1:12" x14ac:dyDescent="0.2">
      <c r="B16" s="42" t="s">
        <v>186</v>
      </c>
      <c r="C16" s="66"/>
      <c r="D16" s="67">
        <v>104</v>
      </c>
      <c r="E16" s="67">
        <v>92.2</v>
      </c>
      <c r="F16" s="67">
        <v>106.3</v>
      </c>
      <c r="G16" s="67">
        <v>97.8</v>
      </c>
      <c r="H16" s="67">
        <v>88.4</v>
      </c>
      <c r="I16" s="67">
        <v>105.2</v>
      </c>
      <c r="J16" s="68" t="s">
        <v>187</v>
      </c>
      <c r="K16" s="67">
        <v>101.6</v>
      </c>
      <c r="L16" s="67">
        <v>103.8</v>
      </c>
    </row>
    <row r="17" spans="2:12" x14ac:dyDescent="0.2">
      <c r="B17" s="42" t="s">
        <v>188</v>
      </c>
      <c r="C17" s="66"/>
      <c r="D17" s="67">
        <v>95.4</v>
      </c>
      <c r="E17" s="67">
        <v>80.8</v>
      </c>
      <c r="F17" s="67">
        <v>109.2</v>
      </c>
      <c r="G17" s="67">
        <v>95</v>
      </c>
      <c r="H17" s="67">
        <v>83.3</v>
      </c>
      <c r="I17" s="67">
        <v>92.9</v>
      </c>
      <c r="J17" s="68" t="s">
        <v>187</v>
      </c>
      <c r="K17" s="67">
        <v>94.9</v>
      </c>
      <c r="L17" s="67">
        <v>99.4</v>
      </c>
    </row>
    <row r="18" spans="2:12" x14ac:dyDescent="0.2">
      <c r="B18" s="42" t="s">
        <v>189</v>
      </c>
      <c r="C18" s="66"/>
      <c r="D18" s="67">
        <v>100</v>
      </c>
      <c r="E18" s="67">
        <v>100</v>
      </c>
      <c r="F18" s="67">
        <v>100</v>
      </c>
      <c r="G18" s="67">
        <v>100</v>
      </c>
      <c r="H18" s="67">
        <v>100</v>
      </c>
      <c r="I18" s="67">
        <v>100</v>
      </c>
      <c r="J18" s="68" t="s">
        <v>187</v>
      </c>
      <c r="K18" s="67">
        <v>100</v>
      </c>
      <c r="L18" s="67">
        <v>100</v>
      </c>
    </row>
    <row r="19" spans="2:12" x14ac:dyDescent="0.2">
      <c r="B19" s="42" t="s">
        <v>190</v>
      </c>
      <c r="C19" s="66"/>
      <c r="D19" s="67">
        <v>94.5</v>
      </c>
      <c r="E19" s="67">
        <v>101.2</v>
      </c>
      <c r="F19" s="67">
        <v>84.4</v>
      </c>
      <c r="G19" s="67">
        <v>94.6</v>
      </c>
      <c r="H19" s="67">
        <v>89.7</v>
      </c>
      <c r="I19" s="67">
        <v>70.099999999999994</v>
      </c>
      <c r="J19" s="68" t="s">
        <v>187</v>
      </c>
      <c r="K19" s="67">
        <v>89.7</v>
      </c>
      <c r="L19" s="67">
        <v>96</v>
      </c>
    </row>
    <row r="20" spans="2:12" x14ac:dyDescent="0.2">
      <c r="B20" s="44" t="s">
        <v>191</v>
      </c>
      <c r="C20" s="69"/>
      <c r="D20" s="70">
        <v>97.7</v>
      </c>
      <c r="E20" s="70">
        <v>96.4</v>
      </c>
      <c r="F20" s="70">
        <v>77.400000000000006</v>
      </c>
      <c r="G20" s="70">
        <v>119.9</v>
      </c>
      <c r="H20" s="70">
        <v>78.900000000000006</v>
      </c>
      <c r="I20" s="70">
        <v>75.2</v>
      </c>
      <c r="J20" s="71" t="s">
        <v>187</v>
      </c>
      <c r="K20" s="70">
        <v>81.599999999999994</v>
      </c>
      <c r="L20" s="70">
        <v>119.4</v>
      </c>
    </row>
    <row r="21" spans="2:12" x14ac:dyDescent="0.2">
      <c r="B21" s="44"/>
      <c r="C21" s="66"/>
    </row>
    <row r="22" spans="2:12" x14ac:dyDescent="0.2">
      <c r="C22" s="66"/>
      <c r="D22" s="67"/>
      <c r="E22" s="67"/>
      <c r="F22" s="44" t="s">
        <v>192</v>
      </c>
      <c r="G22" s="67"/>
      <c r="H22" s="67"/>
      <c r="I22" s="67"/>
      <c r="J22" s="67"/>
      <c r="K22" s="67"/>
      <c r="L22" s="67"/>
    </row>
    <row r="23" spans="2:12" x14ac:dyDescent="0.2">
      <c r="B23" s="42" t="s">
        <v>193</v>
      </c>
      <c r="C23" s="66"/>
      <c r="D23" s="67">
        <v>100.6</v>
      </c>
      <c r="E23" s="67">
        <v>87.5</v>
      </c>
      <c r="F23" s="67">
        <v>109.1</v>
      </c>
      <c r="G23" s="67">
        <v>94</v>
      </c>
      <c r="H23" s="67">
        <v>86.3</v>
      </c>
      <c r="I23" s="67">
        <v>93.1</v>
      </c>
      <c r="J23" s="68" t="s">
        <v>187</v>
      </c>
      <c r="K23" s="67">
        <v>99.3</v>
      </c>
      <c r="L23" s="67">
        <v>100.7</v>
      </c>
    </row>
    <row r="24" spans="2:12" x14ac:dyDescent="0.2">
      <c r="B24" s="42" t="s">
        <v>194</v>
      </c>
      <c r="C24" s="66"/>
      <c r="D24" s="67">
        <v>96.5</v>
      </c>
      <c r="E24" s="67">
        <v>83.2</v>
      </c>
      <c r="F24" s="67">
        <v>107.1</v>
      </c>
      <c r="G24" s="67">
        <v>101.5</v>
      </c>
      <c r="H24" s="67">
        <v>85.1</v>
      </c>
      <c r="I24" s="67">
        <v>100.4</v>
      </c>
      <c r="J24" s="68" t="s">
        <v>187</v>
      </c>
      <c r="K24" s="67">
        <v>95.2</v>
      </c>
      <c r="L24" s="67">
        <v>100.4</v>
      </c>
    </row>
    <row r="25" spans="2:12" x14ac:dyDescent="0.2">
      <c r="B25" s="42" t="s">
        <v>195</v>
      </c>
      <c r="C25" s="66"/>
      <c r="D25" s="67">
        <v>99.4</v>
      </c>
      <c r="E25" s="67">
        <v>103.7</v>
      </c>
      <c r="F25" s="67">
        <v>95.9</v>
      </c>
      <c r="G25" s="67">
        <v>96.3</v>
      </c>
      <c r="H25" s="67">
        <v>98.1</v>
      </c>
      <c r="I25" s="67">
        <v>88.4</v>
      </c>
      <c r="J25" s="68" t="s">
        <v>187</v>
      </c>
      <c r="K25" s="67">
        <v>99.5</v>
      </c>
      <c r="L25" s="67">
        <v>99.7</v>
      </c>
    </row>
    <row r="26" spans="2:12" x14ac:dyDescent="0.2">
      <c r="B26" s="44" t="s">
        <v>196</v>
      </c>
      <c r="C26" s="69"/>
      <c r="D26" s="70">
        <v>94.3</v>
      </c>
      <c r="E26" s="70">
        <v>98</v>
      </c>
      <c r="F26" s="70">
        <v>81.5</v>
      </c>
      <c r="G26" s="70">
        <v>101.6</v>
      </c>
      <c r="H26" s="70">
        <v>87.2</v>
      </c>
      <c r="I26" s="70">
        <v>70.900000000000006</v>
      </c>
      <c r="J26" s="71" t="s">
        <v>187</v>
      </c>
      <c r="K26" s="70">
        <v>86.4</v>
      </c>
      <c r="L26" s="70">
        <v>100.3</v>
      </c>
    </row>
    <row r="27" spans="2:12" x14ac:dyDescent="0.2">
      <c r="B27" s="42"/>
      <c r="C27" s="66"/>
      <c r="D27" s="67"/>
      <c r="E27" s="67"/>
      <c r="F27" s="67"/>
      <c r="G27" s="67"/>
      <c r="H27" s="67"/>
      <c r="I27" s="67"/>
      <c r="J27" s="68"/>
      <c r="K27" s="67"/>
      <c r="L27" s="67"/>
    </row>
    <row r="28" spans="2:12" x14ac:dyDescent="0.2">
      <c r="C28" s="66"/>
      <c r="D28" s="67"/>
      <c r="E28" s="67"/>
      <c r="F28" s="44" t="s">
        <v>197</v>
      </c>
      <c r="G28" s="67"/>
      <c r="H28" s="67"/>
      <c r="I28" s="67"/>
      <c r="J28" s="67"/>
    </row>
    <row r="29" spans="2:12" x14ac:dyDescent="0.2">
      <c r="B29" s="42" t="s">
        <v>198</v>
      </c>
      <c r="C29" s="66"/>
      <c r="D29" s="67">
        <v>80.099999999999994</v>
      </c>
      <c r="E29" s="67">
        <v>94.8</v>
      </c>
      <c r="F29" s="67">
        <v>74.099999999999994</v>
      </c>
      <c r="G29" s="67">
        <v>100.7</v>
      </c>
      <c r="H29" s="67">
        <v>58.8</v>
      </c>
      <c r="I29" s="67">
        <v>53.6</v>
      </c>
      <c r="J29" s="68" t="s">
        <v>187</v>
      </c>
      <c r="K29" s="67">
        <v>70.599999999999994</v>
      </c>
      <c r="L29" s="67">
        <v>81.7</v>
      </c>
    </row>
    <row r="30" spans="2:12" x14ac:dyDescent="0.2">
      <c r="C30" s="72" t="s">
        <v>199</v>
      </c>
      <c r="D30" s="67">
        <v>94.1</v>
      </c>
      <c r="E30" s="67">
        <v>86.6</v>
      </c>
      <c r="F30" s="67">
        <v>96.9</v>
      </c>
      <c r="G30" s="67">
        <v>169.5</v>
      </c>
      <c r="H30" s="67">
        <v>79</v>
      </c>
      <c r="I30" s="67">
        <v>75.3</v>
      </c>
      <c r="J30" s="68" t="s">
        <v>187</v>
      </c>
      <c r="K30" s="67">
        <v>86.3</v>
      </c>
      <c r="L30" s="67">
        <v>105</v>
      </c>
    </row>
    <row r="31" spans="2:12" x14ac:dyDescent="0.2">
      <c r="C31" s="72" t="s">
        <v>200</v>
      </c>
      <c r="D31" s="67">
        <v>99.5</v>
      </c>
      <c r="E31" s="67">
        <v>93.4</v>
      </c>
      <c r="F31" s="67">
        <v>86.7</v>
      </c>
      <c r="G31" s="67">
        <v>104.6</v>
      </c>
      <c r="H31" s="67">
        <v>78.900000000000006</v>
      </c>
      <c r="I31" s="67">
        <v>102.3</v>
      </c>
      <c r="J31" s="68" t="s">
        <v>187</v>
      </c>
      <c r="K31" s="67">
        <v>101</v>
      </c>
      <c r="L31" s="67">
        <v>118.1</v>
      </c>
    </row>
    <row r="32" spans="2:12" x14ac:dyDescent="0.2">
      <c r="C32" s="66"/>
      <c r="H32" s="67"/>
      <c r="J32" s="67"/>
    </row>
    <row r="33" spans="2:12" x14ac:dyDescent="0.2">
      <c r="C33" s="72" t="s">
        <v>201</v>
      </c>
      <c r="D33" s="67">
        <v>95.7</v>
      </c>
      <c r="E33" s="67">
        <v>87.6</v>
      </c>
      <c r="F33" s="67">
        <v>62.9</v>
      </c>
      <c r="G33" s="67">
        <v>141.30000000000001</v>
      </c>
      <c r="H33" s="67">
        <v>75.2</v>
      </c>
      <c r="I33" s="67">
        <v>68.5</v>
      </c>
      <c r="J33" s="68" t="s">
        <v>187</v>
      </c>
      <c r="K33" s="67">
        <v>83.1</v>
      </c>
      <c r="L33" s="67">
        <v>112.4</v>
      </c>
    </row>
    <row r="34" spans="2:12" x14ac:dyDescent="0.2">
      <c r="C34" s="72" t="s">
        <v>202</v>
      </c>
      <c r="D34" s="67">
        <v>94.1</v>
      </c>
      <c r="E34" s="67">
        <v>98</v>
      </c>
      <c r="F34" s="67">
        <v>64.7</v>
      </c>
      <c r="G34" s="67">
        <v>114.6</v>
      </c>
      <c r="H34" s="67">
        <v>81.8</v>
      </c>
      <c r="I34" s="67">
        <v>60.7</v>
      </c>
      <c r="J34" s="68" t="s">
        <v>187</v>
      </c>
      <c r="K34" s="67">
        <v>75.900000000000006</v>
      </c>
      <c r="L34" s="67">
        <v>105.1</v>
      </c>
    </row>
    <row r="35" spans="2:12" x14ac:dyDescent="0.2">
      <c r="C35" s="72" t="s">
        <v>203</v>
      </c>
      <c r="D35" s="67">
        <v>105</v>
      </c>
      <c r="E35" s="67">
        <v>91.5</v>
      </c>
      <c r="F35" s="67">
        <v>73.3</v>
      </c>
      <c r="G35" s="67">
        <v>128.1</v>
      </c>
      <c r="H35" s="67">
        <v>87.1</v>
      </c>
      <c r="I35" s="67">
        <v>78.2</v>
      </c>
      <c r="J35" s="68" t="s">
        <v>187</v>
      </c>
      <c r="K35" s="67">
        <v>74.7</v>
      </c>
      <c r="L35" s="67">
        <v>135.80000000000001</v>
      </c>
    </row>
    <row r="36" spans="2:12" x14ac:dyDescent="0.2">
      <c r="C36" s="66"/>
      <c r="J36" s="67"/>
    </row>
    <row r="37" spans="2:12" x14ac:dyDescent="0.2">
      <c r="C37" s="72" t="s">
        <v>204</v>
      </c>
      <c r="D37" s="67">
        <v>107.5</v>
      </c>
      <c r="E37" s="67">
        <v>101.1</v>
      </c>
      <c r="F37" s="67">
        <v>95.5</v>
      </c>
      <c r="G37" s="67">
        <v>114</v>
      </c>
      <c r="H37" s="67">
        <v>88.7</v>
      </c>
      <c r="I37" s="67">
        <v>86.9</v>
      </c>
      <c r="J37" s="68" t="s">
        <v>187</v>
      </c>
      <c r="K37" s="67">
        <v>75.5</v>
      </c>
      <c r="L37" s="67">
        <v>140.6</v>
      </c>
    </row>
    <row r="38" spans="2:12" x14ac:dyDescent="0.2">
      <c r="C38" s="72" t="s">
        <v>205</v>
      </c>
      <c r="D38" s="67">
        <v>95.9</v>
      </c>
      <c r="E38" s="67">
        <v>101.9</v>
      </c>
      <c r="F38" s="67">
        <v>71.7</v>
      </c>
      <c r="G38" s="67">
        <v>117.8</v>
      </c>
      <c r="H38" s="67">
        <v>77.400000000000006</v>
      </c>
      <c r="I38" s="67">
        <v>83.3</v>
      </c>
      <c r="J38" s="68" t="s">
        <v>187</v>
      </c>
      <c r="K38" s="67">
        <v>69.900000000000006</v>
      </c>
      <c r="L38" s="67">
        <v>111.7</v>
      </c>
    </row>
    <row r="39" spans="2:12" x14ac:dyDescent="0.2">
      <c r="C39" s="72" t="s">
        <v>206</v>
      </c>
      <c r="D39" s="67">
        <v>97.8</v>
      </c>
      <c r="E39" s="67">
        <v>102.9</v>
      </c>
      <c r="F39" s="67">
        <v>88.3</v>
      </c>
      <c r="G39" s="67">
        <v>131.6</v>
      </c>
      <c r="H39" s="67">
        <v>85.7</v>
      </c>
      <c r="I39" s="67">
        <v>81.400000000000006</v>
      </c>
      <c r="J39" s="68" t="s">
        <v>187</v>
      </c>
      <c r="K39" s="67">
        <v>77</v>
      </c>
      <c r="L39" s="67">
        <v>119.1</v>
      </c>
    </row>
    <row r="40" spans="2:12" x14ac:dyDescent="0.2">
      <c r="C40" s="66"/>
      <c r="J40" s="67"/>
    </row>
    <row r="41" spans="2:12" x14ac:dyDescent="0.2">
      <c r="C41" s="72" t="s">
        <v>207</v>
      </c>
      <c r="D41" s="67">
        <v>100.4</v>
      </c>
      <c r="E41" s="67">
        <v>99.7</v>
      </c>
      <c r="F41" s="67">
        <v>78.900000000000006</v>
      </c>
      <c r="G41" s="67">
        <v>106.3</v>
      </c>
      <c r="H41" s="67">
        <v>86</v>
      </c>
      <c r="I41" s="67">
        <v>83.2</v>
      </c>
      <c r="J41" s="68" t="s">
        <v>187</v>
      </c>
      <c r="K41" s="67">
        <v>84.8</v>
      </c>
      <c r="L41" s="67">
        <v>132.69999999999999</v>
      </c>
    </row>
    <row r="42" spans="2:12" x14ac:dyDescent="0.2">
      <c r="C42" s="72" t="s">
        <v>208</v>
      </c>
      <c r="D42" s="67">
        <v>101.8</v>
      </c>
      <c r="E42" s="67">
        <v>100.4</v>
      </c>
      <c r="F42" s="67">
        <v>71.7</v>
      </c>
      <c r="G42" s="67">
        <v>114</v>
      </c>
      <c r="H42" s="67">
        <v>73</v>
      </c>
      <c r="I42" s="67">
        <v>61.4</v>
      </c>
      <c r="J42" s="68" t="s">
        <v>187</v>
      </c>
      <c r="K42" s="67">
        <v>87.8</v>
      </c>
      <c r="L42" s="67">
        <v>139.5</v>
      </c>
    </row>
    <row r="43" spans="2:12" x14ac:dyDescent="0.2">
      <c r="C43" s="72" t="s">
        <v>209</v>
      </c>
      <c r="D43" s="67">
        <v>100</v>
      </c>
      <c r="E43" s="67">
        <v>98.7</v>
      </c>
      <c r="F43" s="67">
        <v>63.7</v>
      </c>
      <c r="G43" s="67">
        <v>96.8</v>
      </c>
      <c r="H43" s="67">
        <v>74.8</v>
      </c>
      <c r="I43" s="67">
        <v>68.099999999999994</v>
      </c>
      <c r="J43" s="68" t="s">
        <v>187</v>
      </c>
      <c r="K43" s="67">
        <v>92</v>
      </c>
      <c r="L43" s="67">
        <v>131.6</v>
      </c>
    </row>
    <row r="44" spans="2:12" x14ac:dyDescent="0.2">
      <c r="C44" s="66"/>
      <c r="J44" s="67"/>
      <c r="K44" s="67"/>
      <c r="L44" s="67"/>
    </row>
    <row r="45" spans="2:12" x14ac:dyDescent="0.2">
      <c r="C45" s="66"/>
      <c r="D45" s="67"/>
      <c r="E45" s="44" t="s">
        <v>210</v>
      </c>
      <c r="F45" s="73"/>
      <c r="G45" s="67"/>
      <c r="H45" s="67"/>
      <c r="I45" s="67"/>
      <c r="J45" s="67"/>
    </row>
    <row r="46" spans="2:12" x14ac:dyDescent="0.2">
      <c r="B46" s="42" t="s">
        <v>198</v>
      </c>
      <c r="C46" s="66"/>
      <c r="D46" s="67">
        <v>94.3</v>
      </c>
      <c r="E46" s="67">
        <v>94.9</v>
      </c>
      <c r="F46" s="67">
        <v>78.5</v>
      </c>
      <c r="G46" s="67">
        <v>101.4</v>
      </c>
      <c r="H46" s="67">
        <v>69.400000000000006</v>
      </c>
      <c r="I46" s="67">
        <v>59.9</v>
      </c>
      <c r="J46" s="68" t="s">
        <v>187</v>
      </c>
      <c r="K46" s="67">
        <v>81.3</v>
      </c>
      <c r="L46" s="67">
        <v>123.2</v>
      </c>
    </row>
    <row r="47" spans="2:12" x14ac:dyDescent="0.2">
      <c r="B47" s="73"/>
      <c r="C47" s="72" t="s">
        <v>199</v>
      </c>
      <c r="D47" s="67">
        <v>99.7</v>
      </c>
      <c r="E47" s="67">
        <v>91.1</v>
      </c>
      <c r="F47" s="67">
        <v>86.6</v>
      </c>
      <c r="G47" s="67">
        <v>137.4</v>
      </c>
      <c r="H47" s="67">
        <v>90.8</v>
      </c>
      <c r="I47" s="67">
        <v>71.400000000000006</v>
      </c>
      <c r="J47" s="68" t="s">
        <v>187</v>
      </c>
      <c r="K47" s="67">
        <v>81.8</v>
      </c>
      <c r="L47" s="67">
        <v>115.6</v>
      </c>
    </row>
    <row r="48" spans="2:12" x14ac:dyDescent="0.2">
      <c r="B48" s="73"/>
      <c r="C48" s="72" t="s">
        <v>200</v>
      </c>
      <c r="D48" s="67">
        <v>94.6</v>
      </c>
      <c r="E48" s="67">
        <v>91.7</v>
      </c>
      <c r="F48" s="67">
        <v>73</v>
      </c>
      <c r="G48" s="67">
        <v>108.3</v>
      </c>
      <c r="H48" s="67">
        <v>72.400000000000006</v>
      </c>
      <c r="I48" s="67">
        <v>88.3</v>
      </c>
      <c r="J48" s="68" t="s">
        <v>187</v>
      </c>
      <c r="K48" s="67">
        <v>85.8</v>
      </c>
      <c r="L48" s="67">
        <v>116.1</v>
      </c>
    </row>
    <row r="49" spans="1:12" x14ac:dyDescent="0.2">
      <c r="C49" s="66"/>
      <c r="J49" s="67"/>
    </row>
    <row r="50" spans="1:12" x14ac:dyDescent="0.2">
      <c r="B50" s="73"/>
      <c r="C50" s="72" t="s">
        <v>201</v>
      </c>
      <c r="D50" s="67">
        <v>95.2</v>
      </c>
      <c r="E50" s="67">
        <v>88.6</v>
      </c>
      <c r="F50" s="67">
        <v>72.7</v>
      </c>
      <c r="G50" s="67">
        <v>155.4</v>
      </c>
      <c r="H50" s="67">
        <v>75.599999999999994</v>
      </c>
      <c r="I50" s="67">
        <v>68.7</v>
      </c>
      <c r="J50" s="68" t="s">
        <v>187</v>
      </c>
      <c r="K50" s="67">
        <v>84</v>
      </c>
      <c r="L50" s="67">
        <v>111.9</v>
      </c>
    </row>
    <row r="51" spans="1:12" x14ac:dyDescent="0.2">
      <c r="B51" s="73"/>
      <c r="C51" s="72" t="s">
        <v>202</v>
      </c>
      <c r="D51" s="67">
        <v>96.7</v>
      </c>
      <c r="E51" s="67">
        <v>93.7</v>
      </c>
      <c r="F51" s="67">
        <v>79.099999999999994</v>
      </c>
      <c r="G51" s="67">
        <v>142.6</v>
      </c>
      <c r="H51" s="67">
        <v>78.2</v>
      </c>
      <c r="I51" s="67">
        <v>61.2</v>
      </c>
      <c r="J51" s="68" t="s">
        <v>187</v>
      </c>
      <c r="K51" s="67">
        <v>82.8</v>
      </c>
      <c r="L51" s="67">
        <v>116.9</v>
      </c>
    </row>
    <row r="52" spans="1:12" x14ac:dyDescent="0.2">
      <c r="B52" s="73"/>
      <c r="C52" s="72" t="s">
        <v>203</v>
      </c>
      <c r="D52" s="67">
        <v>97.8</v>
      </c>
      <c r="E52" s="67">
        <v>93.2</v>
      </c>
      <c r="F52" s="67">
        <v>73.900000000000006</v>
      </c>
      <c r="G52" s="67">
        <v>130</v>
      </c>
      <c r="H52" s="67">
        <v>74.5</v>
      </c>
      <c r="I52" s="67">
        <v>76.8</v>
      </c>
      <c r="J52" s="68" t="s">
        <v>187</v>
      </c>
      <c r="K52" s="67">
        <v>78.099999999999994</v>
      </c>
      <c r="L52" s="67">
        <v>120.6</v>
      </c>
    </row>
    <row r="53" spans="1:12" x14ac:dyDescent="0.2">
      <c r="B53" s="73"/>
      <c r="C53" s="66"/>
      <c r="J53" s="67"/>
    </row>
    <row r="54" spans="1:12" x14ac:dyDescent="0.2">
      <c r="B54" s="73"/>
      <c r="C54" s="72" t="s">
        <v>204</v>
      </c>
      <c r="D54" s="67">
        <v>99.4</v>
      </c>
      <c r="E54" s="67">
        <v>101.3</v>
      </c>
      <c r="F54" s="67">
        <v>83.7</v>
      </c>
      <c r="G54" s="67">
        <v>136.9</v>
      </c>
      <c r="H54" s="67">
        <v>79.900000000000006</v>
      </c>
      <c r="I54" s="67">
        <v>83.5</v>
      </c>
      <c r="J54" s="68" t="s">
        <v>187</v>
      </c>
      <c r="K54" s="67">
        <v>78.5</v>
      </c>
      <c r="L54" s="67">
        <v>119.6</v>
      </c>
    </row>
    <row r="55" spans="1:12" x14ac:dyDescent="0.2">
      <c r="B55" s="73"/>
      <c r="C55" s="72" t="s">
        <v>205</v>
      </c>
      <c r="D55" s="67">
        <v>101.3</v>
      </c>
      <c r="E55" s="67">
        <v>98.9</v>
      </c>
      <c r="F55" s="67">
        <v>81.5</v>
      </c>
      <c r="G55" s="67">
        <v>114.6</v>
      </c>
      <c r="H55" s="67">
        <v>83.9</v>
      </c>
      <c r="I55" s="67">
        <v>75.2</v>
      </c>
      <c r="J55" s="68" t="s">
        <v>187</v>
      </c>
      <c r="K55" s="67">
        <v>78.3</v>
      </c>
      <c r="L55" s="67">
        <v>130.80000000000001</v>
      </c>
    </row>
    <row r="56" spans="1:12" x14ac:dyDescent="0.2">
      <c r="B56" s="73"/>
      <c r="C56" s="72" t="s">
        <v>206</v>
      </c>
      <c r="D56" s="67">
        <v>97.7</v>
      </c>
      <c r="E56" s="67">
        <v>100</v>
      </c>
      <c r="F56" s="67">
        <v>78.5</v>
      </c>
      <c r="G56" s="67">
        <v>106.7</v>
      </c>
      <c r="H56" s="67">
        <v>78.099999999999994</v>
      </c>
      <c r="I56" s="67">
        <v>77.599999999999994</v>
      </c>
      <c r="J56" s="68" t="s">
        <v>187</v>
      </c>
      <c r="K56" s="67">
        <v>77.900000000000006</v>
      </c>
      <c r="L56" s="67">
        <v>125.2</v>
      </c>
    </row>
    <row r="57" spans="1:12" x14ac:dyDescent="0.2">
      <c r="C57" s="66"/>
      <c r="J57" s="67"/>
    </row>
    <row r="58" spans="1:12" x14ac:dyDescent="0.2">
      <c r="B58" s="73"/>
      <c r="C58" s="72" t="s">
        <v>207</v>
      </c>
      <c r="D58" s="67">
        <v>99.5</v>
      </c>
      <c r="E58" s="67">
        <v>98.7</v>
      </c>
      <c r="F58" s="67">
        <v>77.099999999999994</v>
      </c>
      <c r="G58" s="67">
        <v>95.3</v>
      </c>
      <c r="H58" s="67">
        <v>82.7</v>
      </c>
      <c r="I58" s="67">
        <v>82.6</v>
      </c>
      <c r="J58" s="68" t="s">
        <v>187</v>
      </c>
      <c r="K58" s="67">
        <v>84.7</v>
      </c>
      <c r="L58" s="67">
        <v>118.9</v>
      </c>
    </row>
    <row r="59" spans="1:12" x14ac:dyDescent="0.2">
      <c r="B59" s="73"/>
      <c r="C59" s="72" t="s">
        <v>208</v>
      </c>
      <c r="D59" s="67">
        <v>97.3</v>
      </c>
      <c r="E59" s="67">
        <v>103.2</v>
      </c>
      <c r="F59" s="67">
        <v>71.2</v>
      </c>
      <c r="G59" s="67">
        <v>110.1</v>
      </c>
      <c r="H59" s="67">
        <v>80.5</v>
      </c>
      <c r="I59" s="67">
        <v>73.5</v>
      </c>
      <c r="J59" s="68" t="s">
        <v>187</v>
      </c>
      <c r="K59" s="67">
        <v>80.900000000000006</v>
      </c>
      <c r="L59" s="67">
        <v>116.1</v>
      </c>
    </row>
    <row r="60" spans="1:12" x14ac:dyDescent="0.2">
      <c r="B60" s="73"/>
      <c r="C60" s="72" t="s">
        <v>209</v>
      </c>
      <c r="D60" s="67">
        <v>98.4</v>
      </c>
      <c r="E60" s="67">
        <v>101.2</v>
      </c>
      <c r="F60" s="67">
        <v>71.3</v>
      </c>
      <c r="G60" s="67">
        <v>111.4</v>
      </c>
      <c r="H60" s="67">
        <v>82.4</v>
      </c>
      <c r="I60" s="67">
        <v>81.400000000000006</v>
      </c>
      <c r="J60" s="68" t="s">
        <v>187</v>
      </c>
      <c r="K60" s="67">
        <v>83.2</v>
      </c>
      <c r="L60" s="67">
        <v>121.8</v>
      </c>
    </row>
    <row r="61" spans="1:12" ht="18" thickBot="1" x14ac:dyDescent="0.25">
      <c r="B61" s="74"/>
      <c r="C61" s="75"/>
      <c r="D61" s="76"/>
      <c r="E61" s="76"/>
      <c r="F61" s="76"/>
      <c r="G61" s="76"/>
      <c r="H61" s="76"/>
      <c r="I61" s="76"/>
      <c r="J61" s="76"/>
      <c r="K61" s="76"/>
      <c r="L61" s="76"/>
    </row>
    <row r="62" spans="1:12" x14ac:dyDescent="0.2">
      <c r="B62" s="73"/>
      <c r="C62" s="73"/>
      <c r="D62" s="42" t="s">
        <v>211</v>
      </c>
      <c r="E62" s="73"/>
      <c r="F62" s="73"/>
      <c r="G62" s="73"/>
      <c r="H62" s="73"/>
      <c r="I62" s="73"/>
      <c r="J62" s="73"/>
    </row>
    <row r="63" spans="1:12" x14ac:dyDescent="0.2">
      <c r="A63" s="42"/>
      <c r="B63" s="73"/>
      <c r="C63" s="73"/>
      <c r="D63" s="73"/>
      <c r="E63" s="73"/>
      <c r="F63" s="73"/>
      <c r="G63" s="73"/>
      <c r="H63" s="73"/>
      <c r="I63" s="73"/>
      <c r="J63" s="73"/>
    </row>
    <row r="64" spans="1:12" x14ac:dyDescent="0.2">
      <c r="A64" s="42"/>
    </row>
    <row r="69" spans="2:12" x14ac:dyDescent="0.2">
      <c r="D69" s="44" t="s">
        <v>212</v>
      </c>
    </row>
    <row r="70" spans="2:12" ht="18" thickBot="1" x14ac:dyDescent="0.25">
      <c r="B70" s="45"/>
      <c r="C70" s="45"/>
      <c r="D70" s="45"/>
      <c r="E70" s="45"/>
      <c r="F70" s="45"/>
      <c r="G70" s="45"/>
      <c r="H70" s="46"/>
      <c r="I70" s="45"/>
      <c r="J70" s="46" t="s">
        <v>213</v>
      </c>
    </row>
    <row r="71" spans="2:12" x14ac:dyDescent="0.2">
      <c r="D71" s="48"/>
      <c r="E71" s="48"/>
      <c r="F71" s="48"/>
      <c r="G71" s="48"/>
      <c r="H71" s="48"/>
      <c r="I71" s="48"/>
      <c r="J71" s="50"/>
      <c r="K71" s="77"/>
      <c r="L71" s="77"/>
    </row>
    <row r="72" spans="2:12" x14ac:dyDescent="0.2">
      <c r="D72" s="48"/>
      <c r="E72" s="59" t="s">
        <v>214</v>
      </c>
      <c r="F72" s="48"/>
      <c r="G72" s="48"/>
      <c r="H72" s="48"/>
      <c r="I72" s="48"/>
      <c r="J72" s="54" t="s">
        <v>215</v>
      </c>
      <c r="K72" s="54" t="s">
        <v>215</v>
      </c>
      <c r="L72" s="54" t="s">
        <v>215</v>
      </c>
    </row>
    <row r="73" spans="2:12" x14ac:dyDescent="0.2">
      <c r="D73" s="52" t="s">
        <v>216</v>
      </c>
      <c r="E73" s="54" t="s">
        <v>217</v>
      </c>
      <c r="F73" s="52" t="s">
        <v>218</v>
      </c>
      <c r="G73" s="50"/>
      <c r="H73" s="54" t="s">
        <v>219</v>
      </c>
      <c r="I73" s="52" t="s">
        <v>220</v>
      </c>
      <c r="J73" s="54" t="s">
        <v>221</v>
      </c>
      <c r="K73" s="54" t="s">
        <v>222</v>
      </c>
      <c r="L73" s="54" t="s">
        <v>223</v>
      </c>
    </row>
    <row r="74" spans="2:12" x14ac:dyDescent="0.2">
      <c r="B74" s="48"/>
      <c r="C74" s="48"/>
      <c r="D74" s="56" t="s">
        <v>181</v>
      </c>
      <c r="E74" s="56" t="s">
        <v>181</v>
      </c>
      <c r="F74" s="56" t="s">
        <v>224</v>
      </c>
      <c r="G74" s="56" t="s">
        <v>225</v>
      </c>
      <c r="H74" s="57" t="s">
        <v>226</v>
      </c>
      <c r="I74" s="56" t="s">
        <v>227</v>
      </c>
      <c r="J74" s="55"/>
      <c r="K74" s="55"/>
      <c r="L74" s="55"/>
    </row>
    <row r="75" spans="2:12" x14ac:dyDescent="0.2">
      <c r="C75" s="58"/>
    </row>
    <row r="76" spans="2:12" x14ac:dyDescent="0.2">
      <c r="B76" s="59" t="s">
        <v>183</v>
      </c>
      <c r="C76" s="60"/>
      <c r="D76" s="62">
        <v>13</v>
      </c>
      <c r="E76" s="62">
        <v>5</v>
      </c>
      <c r="F76" s="62">
        <v>3</v>
      </c>
      <c r="G76" s="62">
        <v>22</v>
      </c>
      <c r="H76" s="62">
        <v>7</v>
      </c>
      <c r="I76" s="62">
        <v>11</v>
      </c>
      <c r="J76" s="61">
        <f>SUM(H13:J13)</f>
        <v>22</v>
      </c>
      <c r="K76" s="78">
        <v>3</v>
      </c>
      <c r="L76" s="78">
        <v>174</v>
      </c>
    </row>
    <row r="77" spans="2:12" x14ac:dyDescent="0.2">
      <c r="B77" s="59" t="s">
        <v>184</v>
      </c>
      <c r="C77" s="60"/>
      <c r="D77" s="65">
        <v>940.4</v>
      </c>
      <c r="E77" s="65">
        <v>277.5</v>
      </c>
      <c r="F77" s="65">
        <v>106.6</v>
      </c>
      <c r="G77" s="65">
        <v>875.8</v>
      </c>
      <c r="H77" s="65">
        <v>350.7</v>
      </c>
      <c r="I77" s="65">
        <v>606.79999999999995</v>
      </c>
      <c r="J77" s="63">
        <f>SUM(H14:J14)</f>
        <v>1851.4</v>
      </c>
      <c r="K77" s="51">
        <v>748.4</v>
      </c>
      <c r="L77" s="51">
        <v>10748.4</v>
      </c>
    </row>
    <row r="78" spans="2:12" x14ac:dyDescent="0.2">
      <c r="C78" s="58"/>
      <c r="D78" s="67"/>
      <c r="E78" s="67"/>
      <c r="F78" s="44" t="s">
        <v>185</v>
      </c>
      <c r="G78" s="67"/>
      <c r="H78" s="67"/>
      <c r="I78" s="67"/>
      <c r="J78" s="67"/>
    </row>
    <row r="79" spans="2:12" x14ac:dyDescent="0.2">
      <c r="B79" s="42" t="s">
        <v>186</v>
      </c>
      <c r="C79" s="66"/>
      <c r="D79" s="67">
        <v>102.2</v>
      </c>
      <c r="E79" s="67">
        <v>102.2</v>
      </c>
      <c r="F79" s="67">
        <v>101.8</v>
      </c>
      <c r="G79" s="67">
        <v>157.80000000000001</v>
      </c>
      <c r="H79" s="67">
        <v>101.9</v>
      </c>
      <c r="I79" s="67">
        <v>107.2</v>
      </c>
      <c r="J79" s="67">
        <v>90.9</v>
      </c>
      <c r="K79" s="67">
        <v>97.1</v>
      </c>
      <c r="L79" s="67">
        <v>103.6</v>
      </c>
    </row>
    <row r="80" spans="2:12" x14ac:dyDescent="0.2">
      <c r="B80" s="42" t="s">
        <v>228</v>
      </c>
      <c r="C80" s="66"/>
      <c r="D80" s="67">
        <v>102.2</v>
      </c>
      <c r="E80" s="67">
        <v>99.8</v>
      </c>
      <c r="F80" s="67">
        <v>102.5</v>
      </c>
      <c r="G80" s="67">
        <v>113.4</v>
      </c>
      <c r="H80" s="67">
        <v>100.5</v>
      </c>
      <c r="I80" s="67">
        <v>102.1</v>
      </c>
      <c r="J80" s="67">
        <v>84.8</v>
      </c>
      <c r="K80" s="67">
        <v>98</v>
      </c>
      <c r="L80" s="67">
        <v>95.6</v>
      </c>
    </row>
    <row r="81" spans="2:12" x14ac:dyDescent="0.2">
      <c r="B81" s="42" t="s">
        <v>229</v>
      </c>
      <c r="C81" s="66"/>
      <c r="D81" s="67">
        <v>100</v>
      </c>
      <c r="E81" s="67">
        <v>100</v>
      </c>
      <c r="F81" s="67">
        <v>100</v>
      </c>
      <c r="G81" s="67">
        <v>100</v>
      </c>
      <c r="H81" s="67">
        <v>100</v>
      </c>
      <c r="I81" s="67">
        <v>100</v>
      </c>
      <c r="J81" s="67">
        <v>100</v>
      </c>
      <c r="K81" s="67">
        <v>100</v>
      </c>
      <c r="L81" s="67">
        <v>100</v>
      </c>
    </row>
    <row r="82" spans="2:12" x14ac:dyDescent="0.2">
      <c r="B82" s="42" t="s">
        <v>230</v>
      </c>
      <c r="C82" s="66"/>
      <c r="D82" s="67">
        <v>95.6</v>
      </c>
      <c r="E82" s="67">
        <v>94.6</v>
      </c>
      <c r="F82" s="67">
        <v>95.8</v>
      </c>
      <c r="G82" s="67">
        <v>93.9</v>
      </c>
      <c r="H82" s="67">
        <v>102</v>
      </c>
      <c r="I82" s="67">
        <v>93.1</v>
      </c>
      <c r="J82" s="67">
        <v>86.8</v>
      </c>
      <c r="K82" s="67">
        <v>92.9</v>
      </c>
      <c r="L82" s="67">
        <v>94.4</v>
      </c>
    </row>
    <row r="83" spans="2:12" x14ac:dyDescent="0.2">
      <c r="B83" s="44" t="s">
        <v>231</v>
      </c>
      <c r="C83" s="69"/>
      <c r="D83" s="70">
        <v>92.7</v>
      </c>
      <c r="E83" s="70">
        <v>86.7</v>
      </c>
      <c r="F83" s="70">
        <v>95.4</v>
      </c>
      <c r="G83" s="70">
        <v>86.1</v>
      </c>
      <c r="H83" s="70">
        <v>95.7</v>
      </c>
      <c r="I83" s="70">
        <v>84.6</v>
      </c>
      <c r="J83" s="70">
        <v>78.400000000000006</v>
      </c>
      <c r="K83" s="70">
        <v>87.3</v>
      </c>
      <c r="L83" s="70">
        <v>96.9</v>
      </c>
    </row>
    <row r="84" spans="2:12" x14ac:dyDescent="0.2">
      <c r="B84" s="42"/>
      <c r="C84" s="66"/>
    </row>
    <row r="85" spans="2:12" x14ac:dyDescent="0.2">
      <c r="B85" s="42"/>
      <c r="C85" s="66"/>
      <c r="D85" s="67"/>
      <c r="E85" s="67"/>
      <c r="F85" s="44" t="s">
        <v>192</v>
      </c>
      <c r="G85" s="67"/>
      <c r="H85" s="67"/>
      <c r="I85" s="67"/>
      <c r="J85" s="67"/>
    </row>
    <row r="86" spans="2:12" x14ac:dyDescent="0.2">
      <c r="B86" s="42" t="s">
        <v>193</v>
      </c>
      <c r="C86" s="66"/>
      <c r="D86" s="67">
        <v>102.5</v>
      </c>
      <c r="E86" s="67">
        <v>100.6</v>
      </c>
      <c r="F86" s="67">
        <v>100.3</v>
      </c>
      <c r="G86" s="67">
        <v>147.69999999999999</v>
      </c>
      <c r="H86" s="67">
        <v>104.1</v>
      </c>
      <c r="I86" s="67">
        <v>104.4</v>
      </c>
      <c r="J86" s="67">
        <v>87.3</v>
      </c>
      <c r="K86" s="67">
        <v>97</v>
      </c>
      <c r="L86" s="67">
        <v>100.3</v>
      </c>
    </row>
    <row r="87" spans="2:12" x14ac:dyDescent="0.2">
      <c r="B87" s="42" t="s">
        <v>232</v>
      </c>
      <c r="C87" s="66"/>
      <c r="D87" s="67">
        <v>104.1</v>
      </c>
      <c r="E87" s="67">
        <v>99.4</v>
      </c>
      <c r="F87" s="67">
        <v>102.9</v>
      </c>
      <c r="G87" s="67">
        <v>110.1</v>
      </c>
      <c r="H87" s="67">
        <v>97</v>
      </c>
      <c r="I87" s="67">
        <v>100.3</v>
      </c>
      <c r="J87" s="67">
        <v>87.4</v>
      </c>
      <c r="K87" s="67">
        <v>99.7</v>
      </c>
      <c r="L87" s="67">
        <v>96.7</v>
      </c>
    </row>
    <row r="88" spans="2:12" x14ac:dyDescent="0.2">
      <c r="B88" s="42" t="s">
        <v>233</v>
      </c>
      <c r="C88" s="66"/>
      <c r="D88" s="67">
        <v>98.2</v>
      </c>
      <c r="E88" s="67">
        <v>100.4</v>
      </c>
      <c r="F88" s="67">
        <v>98.3</v>
      </c>
      <c r="G88" s="67">
        <v>97.8</v>
      </c>
      <c r="H88" s="67">
        <v>103.7</v>
      </c>
      <c r="I88" s="67">
        <v>100.3</v>
      </c>
      <c r="J88" s="67">
        <v>96.7</v>
      </c>
      <c r="K88" s="67">
        <v>97.8</v>
      </c>
      <c r="L88" s="67">
        <v>99.3</v>
      </c>
    </row>
    <row r="89" spans="2:12" x14ac:dyDescent="0.2">
      <c r="B89" s="44" t="s">
        <v>234</v>
      </c>
      <c r="C89" s="69"/>
      <c r="D89" s="70">
        <v>93.7</v>
      </c>
      <c r="E89" s="70">
        <v>91.6</v>
      </c>
      <c r="F89" s="70">
        <v>96</v>
      </c>
      <c r="G89" s="70">
        <v>92.2</v>
      </c>
      <c r="H89" s="70">
        <v>97.9</v>
      </c>
      <c r="I89" s="70">
        <v>89.4</v>
      </c>
      <c r="J89" s="70">
        <v>84.8</v>
      </c>
      <c r="K89" s="70">
        <v>91</v>
      </c>
      <c r="L89" s="70">
        <v>94.1</v>
      </c>
    </row>
    <row r="90" spans="2:12" x14ac:dyDescent="0.2">
      <c r="B90" s="42"/>
      <c r="C90" s="66"/>
      <c r="D90" s="67"/>
      <c r="E90" s="67"/>
      <c r="F90" s="67"/>
      <c r="G90" s="67"/>
      <c r="H90" s="67"/>
      <c r="I90" s="67"/>
      <c r="J90" s="67"/>
    </row>
    <row r="91" spans="2:12" x14ac:dyDescent="0.2">
      <c r="C91" s="66"/>
    </row>
    <row r="92" spans="2:12" x14ac:dyDescent="0.2">
      <c r="C92" s="66"/>
      <c r="D92" s="67"/>
      <c r="E92" s="67"/>
      <c r="F92" s="44" t="s">
        <v>197</v>
      </c>
      <c r="G92" s="67"/>
      <c r="H92" s="67"/>
      <c r="I92" s="67"/>
      <c r="J92" s="67"/>
    </row>
    <row r="93" spans="2:12" x14ac:dyDescent="0.2">
      <c r="B93" s="42" t="s">
        <v>235</v>
      </c>
      <c r="C93" s="66"/>
      <c r="D93" s="67">
        <v>91.2</v>
      </c>
      <c r="E93" s="67">
        <v>90.8</v>
      </c>
      <c r="F93" s="67">
        <v>74</v>
      </c>
      <c r="G93" s="67">
        <v>83.5</v>
      </c>
      <c r="H93" s="67">
        <v>57.5</v>
      </c>
      <c r="I93" s="67">
        <v>79.5</v>
      </c>
      <c r="J93" s="67">
        <v>58.1</v>
      </c>
      <c r="K93" s="67">
        <v>100.6</v>
      </c>
      <c r="L93" s="67">
        <v>81.5</v>
      </c>
    </row>
    <row r="94" spans="2:12" x14ac:dyDescent="0.2">
      <c r="C94" s="72" t="s">
        <v>236</v>
      </c>
      <c r="D94" s="67">
        <v>89.1</v>
      </c>
      <c r="E94" s="67">
        <v>87</v>
      </c>
      <c r="F94" s="67">
        <v>86.4</v>
      </c>
      <c r="G94" s="67">
        <v>89.4</v>
      </c>
      <c r="H94" s="67">
        <v>64.599999999999994</v>
      </c>
      <c r="I94" s="67">
        <v>87.2</v>
      </c>
      <c r="J94" s="67">
        <v>78.5</v>
      </c>
      <c r="K94" s="67">
        <v>94</v>
      </c>
      <c r="L94" s="67">
        <v>94.1</v>
      </c>
    </row>
    <row r="95" spans="2:12" x14ac:dyDescent="0.2">
      <c r="C95" s="72" t="s">
        <v>237</v>
      </c>
      <c r="D95" s="67">
        <v>99.9</v>
      </c>
      <c r="E95" s="67">
        <v>85.7</v>
      </c>
      <c r="F95" s="67">
        <v>90.8</v>
      </c>
      <c r="G95" s="67">
        <v>91.2</v>
      </c>
      <c r="H95" s="67">
        <v>115.2</v>
      </c>
      <c r="I95" s="67">
        <v>89.9</v>
      </c>
      <c r="J95" s="67">
        <v>82.5</v>
      </c>
      <c r="K95" s="67">
        <v>84.7</v>
      </c>
      <c r="L95" s="67">
        <v>98.5</v>
      </c>
    </row>
    <row r="96" spans="2:12" x14ac:dyDescent="0.2">
      <c r="C96" s="66"/>
    </row>
    <row r="97" spans="2:12" x14ac:dyDescent="0.2">
      <c r="C97" s="72" t="s">
        <v>238</v>
      </c>
      <c r="D97" s="67">
        <v>82.5</v>
      </c>
      <c r="E97" s="67">
        <v>86.7</v>
      </c>
      <c r="F97" s="67">
        <v>92.7</v>
      </c>
      <c r="G97" s="67">
        <v>94.5</v>
      </c>
      <c r="H97" s="67">
        <v>122</v>
      </c>
      <c r="I97" s="67">
        <v>87.5</v>
      </c>
      <c r="J97" s="67">
        <v>74.2</v>
      </c>
      <c r="K97" s="67">
        <v>79.8</v>
      </c>
      <c r="L97" s="67">
        <v>94.6</v>
      </c>
    </row>
    <row r="98" spans="2:12" x14ac:dyDescent="0.2">
      <c r="C98" s="72" t="s">
        <v>239</v>
      </c>
      <c r="D98" s="67">
        <v>92</v>
      </c>
      <c r="E98" s="67">
        <v>86.4</v>
      </c>
      <c r="F98" s="67">
        <v>96.3</v>
      </c>
      <c r="G98" s="67">
        <v>88.5</v>
      </c>
      <c r="H98" s="67">
        <v>112.1</v>
      </c>
      <c r="I98" s="67">
        <v>81.400000000000006</v>
      </c>
      <c r="J98" s="67">
        <v>78.8</v>
      </c>
      <c r="K98" s="67">
        <v>82.3</v>
      </c>
      <c r="L98" s="67">
        <v>93.3</v>
      </c>
    </row>
    <row r="99" spans="2:12" x14ac:dyDescent="0.2">
      <c r="C99" s="72" t="s">
        <v>240</v>
      </c>
      <c r="D99" s="67">
        <v>109</v>
      </c>
      <c r="E99" s="67">
        <v>84.6</v>
      </c>
      <c r="F99" s="67">
        <v>94</v>
      </c>
      <c r="G99" s="67">
        <v>87.2</v>
      </c>
      <c r="H99" s="67">
        <v>106.8</v>
      </c>
      <c r="I99" s="67">
        <v>86.4</v>
      </c>
      <c r="J99" s="67">
        <v>85.9</v>
      </c>
      <c r="K99" s="67">
        <v>78.8</v>
      </c>
      <c r="L99" s="67">
        <v>103.1</v>
      </c>
    </row>
    <row r="100" spans="2:12" x14ac:dyDescent="0.2">
      <c r="C100" s="66"/>
    </row>
    <row r="101" spans="2:12" x14ac:dyDescent="0.2">
      <c r="C101" s="72" t="s">
        <v>241</v>
      </c>
      <c r="D101" s="67">
        <v>89.7</v>
      </c>
      <c r="E101" s="67">
        <v>85.1</v>
      </c>
      <c r="F101" s="67">
        <v>106.6</v>
      </c>
      <c r="G101" s="67">
        <v>90.9</v>
      </c>
      <c r="H101" s="67">
        <v>119.5</v>
      </c>
      <c r="I101" s="67">
        <v>101.3</v>
      </c>
      <c r="J101" s="67">
        <v>88.5</v>
      </c>
      <c r="K101" s="67">
        <v>89.9</v>
      </c>
      <c r="L101" s="67">
        <v>106.3</v>
      </c>
    </row>
    <row r="102" spans="2:12" x14ac:dyDescent="0.2">
      <c r="C102" s="72" t="s">
        <v>242</v>
      </c>
      <c r="D102" s="67">
        <v>106.1</v>
      </c>
      <c r="E102" s="67">
        <v>86.6</v>
      </c>
      <c r="F102" s="67">
        <v>81.400000000000006</v>
      </c>
      <c r="G102" s="67">
        <v>77.7</v>
      </c>
      <c r="H102" s="67">
        <v>95.1</v>
      </c>
      <c r="I102" s="67">
        <v>79</v>
      </c>
      <c r="J102" s="67">
        <v>78.5</v>
      </c>
      <c r="K102" s="67">
        <v>73.7</v>
      </c>
      <c r="L102" s="67">
        <v>94.4</v>
      </c>
    </row>
    <row r="103" spans="2:12" x14ac:dyDescent="0.2">
      <c r="C103" s="72" t="s">
        <v>243</v>
      </c>
      <c r="D103" s="67">
        <v>81</v>
      </c>
      <c r="E103" s="67">
        <v>86</v>
      </c>
      <c r="F103" s="67">
        <v>89.5</v>
      </c>
      <c r="G103" s="67">
        <v>80.099999999999994</v>
      </c>
      <c r="H103" s="67">
        <v>86.3</v>
      </c>
      <c r="I103" s="67">
        <v>77.8</v>
      </c>
      <c r="J103" s="67">
        <v>85.2</v>
      </c>
      <c r="K103" s="67">
        <v>96.4</v>
      </c>
      <c r="L103" s="67">
        <v>97.7</v>
      </c>
    </row>
    <row r="104" spans="2:12" x14ac:dyDescent="0.2">
      <c r="C104" s="66"/>
    </row>
    <row r="105" spans="2:12" x14ac:dyDescent="0.2">
      <c r="C105" s="72" t="s">
        <v>244</v>
      </c>
      <c r="D105" s="67">
        <v>67.2</v>
      </c>
      <c r="E105" s="67">
        <v>85.9</v>
      </c>
      <c r="F105" s="67">
        <v>117.3</v>
      </c>
      <c r="G105" s="67">
        <v>84.8</v>
      </c>
      <c r="H105" s="67">
        <v>92.1</v>
      </c>
      <c r="I105" s="67">
        <v>90.6</v>
      </c>
      <c r="J105" s="67">
        <v>85.7</v>
      </c>
      <c r="K105" s="67">
        <v>82.9</v>
      </c>
      <c r="L105" s="67">
        <v>99.2</v>
      </c>
    </row>
    <row r="106" spans="2:12" x14ac:dyDescent="0.2">
      <c r="C106" s="72" t="s">
        <v>245</v>
      </c>
      <c r="D106" s="67">
        <v>96.3</v>
      </c>
      <c r="E106" s="67">
        <v>86.5</v>
      </c>
      <c r="F106" s="67">
        <v>114</v>
      </c>
      <c r="G106" s="67">
        <v>84.8</v>
      </c>
      <c r="H106" s="67">
        <v>92.3</v>
      </c>
      <c r="I106" s="67">
        <v>73.8</v>
      </c>
      <c r="J106" s="67">
        <v>71.400000000000006</v>
      </c>
      <c r="K106" s="67">
        <v>93.2</v>
      </c>
      <c r="L106" s="67">
        <v>101.2</v>
      </c>
    </row>
    <row r="107" spans="2:12" x14ac:dyDescent="0.2">
      <c r="C107" s="72" t="s">
        <v>246</v>
      </c>
      <c r="D107" s="67">
        <v>108</v>
      </c>
      <c r="E107" s="67">
        <v>89.7</v>
      </c>
      <c r="F107" s="67">
        <v>101.8</v>
      </c>
      <c r="G107" s="67">
        <v>80.599999999999994</v>
      </c>
      <c r="H107" s="67">
        <v>84.7</v>
      </c>
      <c r="I107" s="67">
        <v>80.400000000000006</v>
      </c>
      <c r="J107" s="67">
        <v>74</v>
      </c>
      <c r="K107" s="67">
        <v>91.2</v>
      </c>
      <c r="L107" s="67">
        <v>99.4</v>
      </c>
    </row>
    <row r="108" spans="2:12" x14ac:dyDescent="0.2">
      <c r="C108" s="66"/>
    </row>
    <row r="109" spans="2:12" x14ac:dyDescent="0.2">
      <c r="C109" s="66"/>
      <c r="D109" s="67"/>
      <c r="E109" s="44" t="s">
        <v>210</v>
      </c>
      <c r="F109" s="73"/>
      <c r="G109" s="67"/>
      <c r="H109" s="67"/>
      <c r="I109" s="67"/>
      <c r="J109" s="67"/>
    </row>
    <row r="110" spans="2:12" x14ac:dyDescent="0.2">
      <c r="B110" s="42" t="s">
        <v>235</v>
      </c>
      <c r="C110" s="66"/>
      <c r="D110" s="67">
        <v>90.3</v>
      </c>
      <c r="E110" s="67">
        <v>88.7</v>
      </c>
      <c r="F110" s="67">
        <v>95.7</v>
      </c>
      <c r="G110" s="67">
        <v>91.9</v>
      </c>
      <c r="H110" s="67">
        <v>86.8</v>
      </c>
      <c r="I110" s="67">
        <v>84.9</v>
      </c>
      <c r="J110" s="67">
        <v>67.5</v>
      </c>
      <c r="K110" s="67">
        <v>89.3</v>
      </c>
      <c r="L110" s="67">
        <v>93.9</v>
      </c>
    </row>
    <row r="111" spans="2:12" x14ac:dyDescent="0.2">
      <c r="B111" s="73"/>
      <c r="C111" s="72" t="s">
        <v>236</v>
      </c>
      <c r="D111" s="67">
        <v>91.4</v>
      </c>
      <c r="E111" s="67">
        <v>87.9</v>
      </c>
      <c r="F111" s="67">
        <v>101</v>
      </c>
      <c r="G111" s="67">
        <v>91.8</v>
      </c>
      <c r="H111" s="67">
        <v>77.2</v>
      </c>
      <c r="I111" s="67">
        <v>86.3</v>
      </c>
      <c r="J111" s="67">
        <v>86</v>
      </c>
      <c r="K111" s="67">
        <v>86.4</v>
      </c>
      <c r="L111" s="67">
        <v>98.5</v>
      </c>
    </row>
    <row r="112" spans="2:12" x14ac:dyDescent="0.2">
      <c r="B112" s="73"/>
      <c r="C112" s="72" t="s">
        <v>237</v>
      </c>
      <c r="D112" s="67">
        <v>92.1</v>
      </c>
      <c r="E112" s="67">
        <v>87.8</v>
      </c>
      <c r="F112" s="67">
        <v>92.7</v>
      </c>
      <c r="G112" s="67">
        <v>85.8</v>
      </c>
      <c r="H112" s="67">
        <v>105</v>
      </c>
      <c r="I112" s="67">
        <v>82.7</v>
      </c>
      <c r="J112" s="67">
        <v>73.400000000000006</v>
      </c>
      <c r="K112" s="67">
        <v>87.2</v>
      </c>
      <c r="L112" s="67">
        <v>93.5</v>
      </c>
    </row>
    <row r="113" spans="1:12" x14ac:dyDescent="0.2">
      <c r="C113" s="66"/>
    </row>
    <row r="114" spans="1:12" x14ac:dyDescent="0.2">
      <c r="B114" s="73"/>
      <c r="C114" s="72" t="s">
        <v>238</v>
      </c>
      <c r="D114" s="67">
        <v>87.9</v>
      </c>
      <c r="E114" s="67">
        <v>87.2</v>
      </c>
      <c r="F114" s="67">
        <v>94.6</v>
      </c>
      <c r="G114" s="67">
        <v>87.7</v>
      </c>
      <c r="H114" s="67">
        <v>105.4</v>
      </c>
      <c r="I114" s="67">
        <v>87.7</v>
      </c>
      <c r="J114" s="67">
        <v>74.7</v>
      </c>
      <c r="K114" s="67">
        <v>86</v>
      </c>
      <c r="L114" s="67">
        <v>94.6</v>
      </c>
    </row>
    <row r="115" spans="1:12" x14ac:dyDescent="0.2">
      <c r="B115" s="73"/>
      <c r="C115" s="72" t="s">
        <v>239</v>
      </c>
      <c r="D115" s="67">
        <v>91.9</v>
      </c>
      <c r="E115" s="67">
        <v>88.2</v>
      </c>
      <c r="F115" s="67">
        <v>97.6</v>
      </c>
      <c r="G115" s="67">
        <v>88.1</v>
      </c>
      <c r="H115" s="67">
        <v>101.5</v>
      </c>
      <c r="I115" s="67">
        <v>83.7</v>
      </c>
      <c r="J115" s="67">
        <v>76.2</v>
      </c>
      <c r="K115" s="67">
        <v>94</v>
      </c>
      <c r="L115" s="67">
        <v>96.2</v>
      </c>
    </row>
    <row r="116" spans="1:12" x14ac:dyDescent="0.2">
      <c r="B116" s="73"/>
      <c r="C116" s="72" t="s">
        <v>240</v>
      </c>
      <c r="D116" s="67">
        <v>110.3</v>
      </c>
      <c r="E116" s="67">
        <v>86.5</v>
      </c>
      <c r="F116" s="67">
        <v>91.7</v>
      </c>
      <c r="G116" s="67">
        <v>85.3</v>
      </c>
      <c r="H116" s="67">
        <v>94.8</v>
      </c>
      <c r="I116" s="67">
        <v>85.4</v>
      </c>
      <c r="J116" s="67">
        <v>74.900000000000006</v>
      </c>
      <c r="K116" s="67">
        <v>88.2</v>
      </c>
      <c r="L116" s="67">
        <v>97.1</v>
      </c>
    </row>
    <row r="117" spans="1:12" x14ac:dyDescent="0.2">
      <c r="B117" s="73"/>
      <c r="C117" s="66"/>
      <c r="G117" s="67"/>
    </row>
    <row r="118" spans="1:12" x14ac:dyDescent="0.2">
      <c r="B118" s="73"/>
      <c r="C118" s="72" t="s">
        <v>241</v>
      </c>
      <c r="D118" s="67">
        <v>87.9</v>
      </c>
      <c r="E118" s="67">
        <v>86.8</v>
      </c>
      <c r="F118" s="67">
        <v>95.3</v>
      </c>
      <c r="G118" s="67">
        <v>89.4</v>
      </c>
      <c r="H118" s="67">
        <v>103.2</v>
      </c>
      <c r="I118" s="67">
        <v>99.5</v>
      </c>
      <c r="J118" s="67">
        <v>80.599999999999994</v>
      </c>
      <c r="K118" s="67">
        <v>84.9</v>
      </c>
      <c r="L118" s="67">
        <v>98.2</v>
      </c>
    </row>
    <row r="119" spans="1:12" x14ac:dyDescent="0.2">
      <c r="B119" s="73"/>
      <c r="C119" s="72" t="s">
        <v>242</v>
      </c>
      <c r="D119" s="67">
        <v>96.6</v>
      </c>
      <c r="E119" s="67">
        <v>85.3</v>
      </c>
      <c r="F119" s="67">
        <v>93.1</v>
      </c>
      <c r="G119" s="67">
        <v>83.4</v>
      </c>
      <c r="H119" s="67">
        <v>93.8</v>
      </c>
      <c r="I119" s="67">
        <v>85</v>
      </c>
      <c r="J119" s="67">
        <v>82.9</v>
      </c>
      <c r="K119" s="67">
        <v>62.3</v>
      </c>
      <c r="L119" s="67">
        <v>98.5</v>
      </c>
    </row>
    <row r="120" spans="1:12" x14ac:dyDescent="0.2">
      <c r="B120" s="73"/>
      <c r="C120" s="72" t="s">
        <v>243</v>
      </c>
      <c r="D120" s="67">
        <v>81.900000000000006</v>
      </c>
      <c r="E120" s="67">
        <v>86.2</v>
      </c>
      <c r="F120" s="67">
        <v>94.5</v>
      </c>
      <c r="G120" s="67">
        <v>80.900000000000006</v>
      </c>
      <c r="H120" s="67">
        <v>88.2</v>
      </c>
      <c r="I120" s="67">
        <v>80.599999999999994</v>
      </c>
      <c r="J120" s="67">
        <v>81.7</v>
      </c>
      <c r="K120" s="67">
        <v>87.6</v>
      </c>
      <c r="L120" s="67">
        <v>96.9</v>
      </c>
    </row>
    <row r="121" spans="1:12" x14ac:dyDescent="0.2">
      <c r="C121" s="66"/>
    </row>
    <row r="122" spans="1:12" x14ac:dyDescent="0.2">
      <c r="B122" s="73"/>
      <c r="C122" s="72" t="s">
        <v>244</v>
      </c>
      <c r="D122" s="67">
        <v>83.3</v>
      </c>
      <c r="E122" s="67">
        <v>86.3</v>
      </c>
      <c r="F122" s="67">
        <v>99.9</v>
      </c>
      <c r="G122" s="67">
        <v>84.5</v>
      </c>
      <c r="H122" s="67">
        <v>94.7</v>
      </c>
      <c r="I122" s="67">
        <v>84.6</v>
      </c>
      <c r="J122" s="67">
        <v>84.1</v>
      </c>
      <c r="K122" s="67">
        <v>90</v>
      </c>
      <c r="L122" s="67">
        <v>98.9</v>
      </c>
    </row>
    <row r="123" spans="1:12" x14ac:dyDescent="0.2">
      <c r="B123" s="73"/>
      <c r="C123" s="72" t="s">
        <v>245</v>
      </c>
      <c r="D123" s="67">
        <v>100.2</v>
      </c>
      <c r="E123" s="67">
        <v>86</v>
      </c>
      <c r="F123" s="67">
        <v>94.8</v>
      </c>
      <c r="G123" s="67">
        <v>82.6</v>
      </c>
      <c r="H123" s="67">
        <v>94.9</v>
      </c>
      <c r="I123" s="67">
        <v>74.8</v>
      </c>
      <c r="J123" s="67">
        <v>77.400000000000006</v>
      </c>
      <c r="K123" s="67">
        <v>105.6</v>
      </c>
      <c r="L123" s="67">
        <v>97.5</v>
      </c>
    </row>
    <row r="124" spans="1:12" x14ac:dyDescent="0.2">
      <c r="B124" s="73"/>
      <c r="C124" s="72" t="s">
        <v>246</v>
      </c>
      <c r="D124" s="67">
        <v>96.1</v>
      </c>
      <c r="E124" s="67">
        <v>85.1</v>
      </c>
      <c r="F124" s="67">
        <v>94.5</v>
      </c>
      <c r="G124" s="67">
        <v>82.5</v>
      </c>
      <c r="H124" s="67">
        <v>92.5</v>
      </c>
      <c r="I124" s="67">
        <v>79.400000000000006</v>
      </c>
      <c r="J124" s="67">
        <v>81.900000000000006</v>
      </c>
      <c r="K124" s="67">
        <v>94.1</v>
      </c>
      <c r="L124" s="67">
        <v>99.5</v>
      </c>
    </row>
    <row r="125" spans="1:12" ht="18" thickBot="1" x14ac:dyDescent="0.25">
      <c r="B125" s="74"/>
      <c r="C125" s="75"/>
      <c r="D125" s="76"/>
      <c r="E125" s="76"/>
      <c r="F125" s="76"/>
      <c r="G125" s="76"/>
      <c r="H125" s="76"/>
      <c r="I125" s="76"/>
      <c r="J125" s="76"/>
      <c r="K125" s="45"/>
      <c r="L125" s="45"/>
    </row>
    <row r="126" spans="1:12" x14ac:dyDescent="0.2">
      <c r="B126" s="73"/>
      <c r="C126" s="73"/>
      <c r="D126" s="42" t="s">
        <v>211</v>
      </c>
      <c r="E126" s="73"/>
      <c r="F126" s="73"/>
      <c r="G126" s="73"/>
      <c r="H126" s="73"/>
      <c r="I126" s="73"/>
      <c r="J126" s="73"/>
    </row>
    <row r="127" spans="1:12" x14ac:dyDescent="0.2">
      <c r="A127" s="42"/>
      <c r="B127" s="73"/>
      <c r="C127" s="73"/>
      <c r="D127" s="73"/>
      <c r="E127" s="73"/>
      <c r="F127" s="73"/>
      <c r="G127" s="73"/>
      <c r="H127" s="73"/>
      <c r="I127" s="73"/>
      <c r="J127" s="73"/>
    </row>
  </sheetData>
  <phoneticPr fontId="2"/>
  <pageMargins left="0.4" right="0.6" top="0.56999999999999995" bottom="0.51" header="0.51200000000000001" footer="0.51200000000000001"/>
  <pageSetup paperSize="12" scale="75" orientation="portrait" horizontalDpi="4294967292" r:id="rId1"/>
  <headerFooter alignWithMargins="0"/>
  <rowBreaks count="1" manualBreakCount="1">
    <brk id="6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I01鉱業</vt:lpstr>
      <vt:lpstr>I02鉱業</vt:lpstr>
      <vt:lpstr>I03,4I製造</vt:lpstr>
      <vt:lpstr>I05町村</vt:lpstr>
      <vt:lpstr>I06薬品</vt:lpstr>
      <vt:lpstr>I07酒類</vt:lpstr>
      <vt:lpstr>I08鉱工業</vt:lpstr>
      <vt:lpstr>I01鉱業!Print_Area</vt:lpstr>
      <vt:lpstr>I02鉱業!Print_Area</vt:lpstr>
      <vt:lpstr>'I03,4I製造'!Print_Area</vt:lpstr>
      <vt:lpstr>I05町村!Print_Area</vt:lpstr>
      <vt:lpstr>I06薬品!Print_Area</vt:lpstr>
      <vt:lpstr>I07酒類!Print_Area</vt:lpstr>
      <vt:lpstr>I08鉱工業!Print_Area</vt:lpstr>
      <vt:lpstr>I01鉱業!Print_Area_MI</vt:lpstr>
      <vt:lpstr>I02鉱業!Print_Area_MI</vt:lpstr>
      <vt:lpstr>'I03,4I製造'!Print_Area_MI</vt:lpstr>
      <vt:lpstr>I05町村!Print_Area_MI</vt:lpstr>
      <vt:lpstr>I06薬品!Print_Area_MI</vt:lpstr>
      <vt:lpstr>I07酒類!Print_Area_MI</vt:lpstr>
      <vt:lpstr>I08鉱工業!Print_Area_MI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2018-06-15T01:17:16Z</dcterms:created>
  <dcterms:modified xsi:type="dcterms:W3CDTF">2018-06-15T01:18:41Z</dcterms:modified>
</cp:coreProperties>
</file>