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67" firstSheet="9" activeTab="10"/>
  </bookViews>
  <sheets>
    <sheet name="T01病院" sheetId="19" r:id="rId1"/>
    <sheet name="T02患者" sheetId="20" r:id="rId2"/>
    <sheet name="T03町村" sheetId="21" r:id="rId3"/>
    <sheet name="T04A死因" sheetId="22" r:id="rId4"/>
    <sheet name="T04B死因" sheetId="23" r:id="rId5"/>
    <sheet name="T05伝染" sheetId="24" r:id="rId6"/>
    <sheet name="T06A医師" sheetId="25" r:id="rId7"/>
    <sheet name="T06B歯科" sheetId="26" r:id="rId8"/>
    <sheet name="T07薬剤師" sheetId="27" r:id="rId9"/>
    <sheet name="T08町村" sheetId="28" r:id="rId10"/>
    <sheet name="T09看護" sheetId="29" r:id="rId11"/>
    <sheet name="T10助産婦" sheetId="4" r:id="rId12"/>
    <sheet name="T11保婦" sheetId="5" r:id="rId13"/>
    <sheet name="T12従事" sheetId="6" r:id="rId14"/>
    <sheet name="T13薬局" sheetId="7" r:id="rId15"/>
    <sheet name="T14理容" sheetId="8" r:id="rId16"/>
    <sheet name="T15施設" sheetId="9" r:id="rId17"/>
    <sheet name="T16保所" sheetId="10" r:id="rId18"/>
    <sheet name="T17献血" sheetId="11" r:id="rId19"/>
    <sheet name="T18ごみ" sheetId="12" r:id="rId20"/>
    <sheet name="T19A水洗" sheetId="13" r:id="rId21"/>
    <sheet name="T19Bし尿" sheetId="14" r:id="rId22"/>
    <sheet name="T20汚染" sheetId="15" r:id="rId23"/>
    <sheet name="T21河川" sheetId="16" r:id="rId24"/>
    <sheet name="T22A苦情" sheetId="17" r:id="rId25"/>
    <sheet name="T22B町村" sheetId="18" r:id="rId2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\o" localSheetId="4">T04B死因!$BO$76</definedName>
    <definedName name="\o" localSheetId="9">T08町村!$AT$76</definedName>
    <definedName name="\o">#N/A</definedName>
    <definedName name="\p" localSheetId="2">T03町村!$P$6</definedName>
    <definedName name="\p">#N/A</definedName>
    <definedName name="Print_Area_MI" localSheetId="0">T01病院!$A$1:$K$37</definedName>
    <definedName name="Print_Area_MI" localSheetId="1">T02患者!$A$1:$K$34</definedName>
    <definedName name="Print_Area_MI" localSheetId="2">T03町村!$A$1:$M$73</definedName>
    <definedName name="Print_Area_MI" localSheetId="3">T04A死因!$A$1:$L$73</definedName>
    <definedName name="Print_Area_MI" localSheetId="4">T04B死因!$A$1:$L$146</definedName>
    <definedName name="Print_Area_MI" localSheetId="5">T05伝染!$A$1:$J$72</definedName>
    <definedName name="Print_Area_MI" localSheetId="6">T06A医師!$A$1:$J$27</definedName>
    <definedName name="Print_Area_MI" localSheetId="7">T06B歯科!$A$1:$J$28</definedName>
    <definedName name="Print_Area_MI" localSheetId="8">T07薬剤師!$A$1:$J$27</definedName>
    <definedName name="Print_Area_MI" localSheetId="9">T08町村!$A$1:$K$73</definedName>
    <definedName name="Print_Area_MI" localSheetId="10">T09看護!$A$1:$J$39</definedName>
    <definedName name="Print_Area_MI" localSheetId="11">T10助産婦!$A$1:$J$38</definedName>
    <definedName name="Print_Area_MI" localSheetId="12">T11保婦!$A$1:$J$41</definedName>
    <definedName name="Print_Area_MI" localSheetId="13">T12従事!$A$1:$J$28</definedName>
    <definedName name="Print_Area_MI" localSheetId="14">T13薬局!$A$1:$G$73</definedName>
    <definedName name="Print_Area_MI" localSheetId="15">T14理容!$A$1:$F$73</definedName>
    <definedName name="Print_Area_MI" localSheetId="16">T15施設!$A$1:$K$23</definedName>
    <definedName name="Print_Area_MI" localSheetId="17">T16保所!$A$1:$K$54</definedName>
    <definedName name="Print_Area_MI" localSheetId="18">T17献血!$A$1:$K$71</definedName>
    <definedName name="Print_Area_MI" localSheetId="19">T18ごみ!$A$1:$K$73</definedName>
    <definedName name="Print_Area_MI" localSheetId="20">T19A水洗!$A$1:$K$73</definedName>
    <definedName name="Print_Area_MI" localSheetId="21">T19Bし尿!$A$1:$L$73</definedName>
    <definedName name="Print_Area_MI" localSheetId="22">T20汚染!$A$1:$J$143</definedName>
    <definedName name="Print_Area_MI" localSheetId="23">T21河川!$A$1:$M$51</definedName>
    <definedName name="Print_Area_MI" localSheetId="24">T22A苦情!$A$1:$M$26</definedName>
    <definedName name="Print_Area_MI" localSheetId="25">T22B町村!$A$1:$M$73</definedName>
  </definedNames>
  <calcPr calcId="145621"/>
</workbook>
</file>

<file path=xl/calcChain.xml><?xml version="1.0" encoding="utf-8"?>
<calcChain xmlns="http://schemas.openxmlformats.org/spreadsheetml/2006/main">
  <c r="D37" i="29" l="1"/>
  <c r="C37" i="29"/>
  <c r="D36" i="29"/>
  <c r="C36" i="29"/>
  <c r="D35" i="29"/>
  <c r="C35" i="29"/>
  <c r="D34" i="29"/>
  <c r="C34" i="29"/>
  <c r="D33" i="29"/>
  <c r="C33" i="29"/>
  <c r="D31" i="29"/>
  <c r="C31" i="29"/>
  <c r="D30" i="29"/>
  <c r="C30" i="29"/>
  <c r="D29" i="29"/>
  <c r="C29" i="29"/>
  <c r="D28" i="29"/>
  <c r="C28" i="29"/>
  <c r="D27" i="29"/>
  <c r="C27" i="29"/>
  <c r="D25" i="29"/>
  <c r="C25" i="29"/>
  <c r="D24" i="29"/>
  <c r="C24" i="29"/>
  <c r="D23" i="29"/>
  <c r="C23" i="29"/>
  <c r="J22" i="29"/>
  <c r="H22" i="29"/>
  <c r="G22" i="29"/>
  <c r="F22" i="29"/>
  <c r="E22" i="29"/>
  <c r="D22" i="29"/>
  <c r="C22" i="29"/>
  <c r="H21" i="29"/>
  <c r="G21" i="29"/>
  <c r="F21" i="29"/>
  <c r="E21" i="29"/>
  <c r="D21" i="29"/>
  <c r="C21" i="29"/>
  <c r="E20" i="29"/>
  <c r="D20" i="29"/>
  <c r="C20" i="29"/>
  <c r="G19" i="29"/>
  <c r="C19" i="29" s="1"/>
  <c r="F19" i="29"/>
  <c r="D19" i="29" s="1"/>
  <c r="E19" i="29"/>
  <c r="I18" i="29"/>
  <c r="G18" i="29"/>
  <c r="F18" i="29"/>
  <c r="E18" i="29"/>
  <c r="D18" i="29"/>
  <c r="C18" i="29"/>
  <c r="D17" i="29"/>
  <c r="C17" i="29"/>
  <c r="E15" i="29"/>
  <c r="D15" i="29"/>
  <c r="C15" i="29"/>
  <c r="E14" i="29"/>
  <c r="D14" i="29"/>
  <c r="C14" i="29"/>
  <c r="I66" i="28"/>
  <c r="I64" i="28"/>
  <c r="I56" i="28"/>
  <c r="I49" i="28"/>
  <c r="I41" i="28"/>
  <c r="I39" i="28"/>
  <c r="I34" i="28"/>
  <c r="I31" i="28"/>
  <c r="I23" i="28"/>
  <c r="I22" i="28"/>
  <c r="I20" i="28"/>
  <c r="I19" i="28"/>
  <c r="I18" i="28"/>
  <c r="I16" i="28"/>
  <c r="I15" i="28"/>
  <c r="I14" i="28"/>
  <c r="K12" i="28"/>
  <c r="J12" i="28"/>
  <c r="I12" i="28"/>
  <c r="H12" i="28"/>
  <c r="G12" i="28"/>
  <c r="F12" i="28"/>
  <c r="E12" i="28"/>
  <c r="D12" i="28"/>
  <c r="C12" i="28"/>
  <c r="C24" i="27"/>
  <c r="C23" i="27"/>
  <c r="J22" i="27"/>
  <c r="I22" i="27"/>
  <c r="F22" i="27"/>
  <c r="J21" i="27"/>
  <c r="I21" i="27"/>
  <c r="F21" i="27"/>
  <c r="J19" i="27"/>
  <c r="I19" i="27"/>
  <c r="F19" i="27"/>
  <c r="J18" i="27"/>
  <c r="I18" i="27"/>
  <c r="F18" i="27"/>
  <c r="J17" i="27"/>
  <c r="I17" i="27"/>
  <c r="F17" i="27"/>
  <c r="J15" i="27"/>
  <c r="I15" i="27"/>
  <c r="F15" i="27"/>
  <c r="I14" i="27"/>
  <c r="F14" i="27"/>
  <c r="J13" i="27"/>
  <c r="D25" i="26"/>
  <c r="C25" i="26"/>
  <c r="D24" i="26"/>
  <c r="C24" i="26"/>
  <c r="C23" i="26"/>
  <c r="C22" i="26"/>
  <c r="C20" i="26"/>
  <c r="C19" i="26"/>
  <c r="C18" i="26"/>
  <c r="C16" i="26"/>
  <c r="C15" i="26"/>
  <c r="C14" i="26"/>
  <c r="D25" i="25"/>
  <c r="C25" i="25"/>
  <c r="C24" i="25"/>
  <c r="E23" i="25"/>
  <c r="C23" i="25"/>
  <c r="E22" i="25"/>
  <c r="C22" i="25"/>
  <c r="E20" i="25"/>
  <c r="C20" i="25"/>
  <c r="C19" i="25"/>
  <c r="C18" i="25"/>
  <c r="E16" i="25"/>
  <c r="C16" i="25"/>
  <c r="C15" i="25"/>
  <c r="C14" i="25"/>
  <c r="L85" i="23"/>
  <c r="K85" i="23"/>
  <c r="J85" i="23"/>
  <c r="I85" i="23"/>
  <c r="H85" i="23"/>
  <c r="G85" i="23"/>
  <c r="F85" i="23"/>
  <c r="E85" i="23"/>
  <c r="D85" i="23"/>
  <c r="C85" i="23"/>
  <c r="C70" i="23"/>
  <c r="C69" i="23"/>
  <c r="C68" i="23"/>
  <c r="C67" i="23"/>
  <c r="C66" i="23"/>
  <c r="C65" i="23"/>
  <c r="C64" i="23"/>
  <c r="C62" i="23"/>
  <c r="C61" i="23"/>
  <c r="C60" i="23"/>
  <c r="C59" i="23"/>
  <c r="C58" i="23"/>
  <c r="C57" i="23"/>
  <c r="C56" i="23"/>
  <c r="C54" i="23"/>
  <c r="C53" i="23"/>
  <c r="C52" i="23"/>
  <c r="C51" i="23"/>
  <c r="C50" i="23"/>
  <c r="C49" i="23"/>
  <c r="C48" i="23"/>
  <c r="C47" i="23"/>
  <c r="C46" i="23"/>
  <c r="C45" i="23"/>
  <c r="C43" i="23"/>
  <c r="C42" i="23"/>
  <c r="C41" i="23"/>
  <c r="C40" i="23"/>
  <c r="C39" i="23"/>
  <c r="C37" i="23"/>
  <c r="C36" i="23"/>
  <c r="C35" i="23"/>
  <c r="C34" i="23"/>
  <c r="C33" i="23"/>
  <c r="C31" i="23"/>
  <c r="C30" i="23"/>
  <c r="C29" i="23"/>
  <c r="C28" i="23"/>
  <c r="C27" i="23"/>
  <c r="C26" i="23"/>
  <c r="C24" i="23"/>
  <c r="C23" i="23"/>
  <c r="C22" i="23"/>
  <c r="C20" i="23"/>
  <c r="C19" i="23"/>
  <c r="C18" i="23"/>
  <c r="C17" i="23"/>
  <c r="C16" i="23"/>
  <c r="C15" i="23"/>
  <c r="C14" i="23"/>
  <c r="C12" i="23" s="1"/>
  <c r="L12" i="23"/>
  <c r="K12" i="23"/>
  <c r="J12" i="23"/>
  <c r="I12" i="23"/>
  <c r="H12" i="23"/>
  <c r="G12" i="23"/>
  <c r="F12" i="23"/>
  <c r="E12" i="23"/>
  <c r="D12" i="23"/>
  <c r="L70" i="22"/>
  <c r="L69" i="22"/>
  <c r="L68" i="22"/>
  <c r="L67" i="22"/>
  <c r="L65" i="22"/>
  <c r="L64" i="22"/>
  <c r="L63" i="22"/>
  <c r="L62" i="22"/>
  <c r="L60" i="22"/>
  <c r="L59" i="22"/>
  <c r="L57" i="22"/>
  <c r="L56" i="22"/>
  <c r="L55" i="22"/>
  <c r="H66" i="21"/>
  <c r="H64" i="21"/>
  <c r="H62" i="21"/>
  <c r="H61" i="21"/>
  <c r="H59" i="21"/>
  <c r="H56" i="21"/>
  <c r="H45" i="21"/>
  <c r="H42" i="21"/>
  <c r="H41" i="21"/>
  <c r="H39" i="21"/>
  <c r="H36" i="21"/>
  <c r="H35" i="21"/>
  <c r="H34" i="21"/>
  <c r="H33" i="21"/>
  <c r="H31" i="21"/>
  <c r="H29" i="21"/>
  <c r="H28" i="21"/>
  <c r="H26" i="21"/>
  <c r="H23" i="21"/>
  <c r="H20" i="21"/>
  <c r="H19" i="21"/>
  <c r="H18" i="21"/>
  <c r="H12" i="21" s="1"/>
  <c r="H17" i="21"/>
  <c r="H16" i="21"/>
  <c r="H15" i="21"/>
  <c r="H14" i="21"/>
  <c r="M12" i="21"/>
  <c r="L12" i="21"/>
  <c r="K12" i="21"/>
  <c r="J12" i="21"/>
  <c r="I12" i="21"/>
  <c r="G12" i="21"/>
  <c r="F12" i="21"/>
  <c r="E12" i="21"/>
  <c r="D12" i="21"/>
  <c r="C28" i="20"/>
  <c r="C27" i="20"/>
  <c r="C26" i="20"/>
  <c r="C24" i="20"/>
  <c r="C23" i="20"/>
  <c r="C22" i="20"/>
  <c r="C20" i="20"/>
  <c r="C19" i="20"/>
  <c r="C18" i="20"/>
  <c r="C17" i="20"/>
  <c r="C15" i="20"/>
  <c r="C14" i="20"/>
  <c r="C13" i="20"/>
  <c r="C12" i="20"/>
  <c r="F35" i="19"/>
  <c r="F34" i="19"/>
  <c r="F33" i="19"/>
  <c r="F31" i="19"/>
  <c r="F30" i="19"/>
  <c r="F29" i="19"/>
  <c r="F28" i="19"/>
  <c r="F26" i="19"/>
  <c r="F25" i="19"/>
  <c r="F24" i="19"/>
  <c r="I23" i="19"/>
  <c r="F23" i="19"/>
  <c r="F21" i="19"/>
  <c r="F20" i="19"/>
  <c r="F19" i="19"/>
  <c r="F18" i="19"/>
  <c r="F16" i="19"/>
  <c r="F15" i="19"/>
  <c r="F14" i="19"/>
  <c r="F13" i="19"/>
  <c r="E64" i="18"/>
  <c r="D64" i="18" s="1"/>
  <c r="E59" i="18"/>
  <c r="D59" i="18"/>
  <c r="E56" i="18"/>
  <c r="D56" i="18" s="1"/>
  <c r="E48" i="18"/>
  <c r="D48" i="18"/>
  <c r="E47" i="18"/>
  <c r="D47" i="18"/>
  <c r="E42" i="18"/>
  <c r="D42" i="18"/>
  <c r="E41" i="18"/>
  <c r="D41" i="18"/>
  <c r="E40" i="18"/>
  <c r="D40" i="18"/>
  <c r="E39" i="18"/>
  <c r="D39" i="18"/>
  <c r="E31" i="18"/>
  <c r="D31" i="18"/>
  <c r="E30" i="18"/>
  <c r="D30" i="18"/>
  <c r="D29" i="18"/>
  <c r="E27" i="18"/>
  <c r="D27" i="18" s="1"/>
  <c r="D26" i="18"/>
  <c r="E21" i="18"/>
  <c r="D21" i="18" s="1"/>
  <c r="E20" i="18"/>
  <c r="D20" i="18"/>
  <c r="E19" i="18"/>
  <c r="D19" i="18"/>
  <c r="E18" i="18"/>
  <c r="D18" i="18"/>
  <c r="E17" i="18"/>
  <c r="D17" i="18"/>
  <c r="E15" i="18"/>
  <c r="D15" i="18"/>
  <c r="E14" i="18"/>
  <c r="D14" i="18"/>
  <c r="M12" i="18"/>
  <c r="L12" i="18"/>
  <c r="J12" i="18"/>
  <c r="I12" i="18"/>
  <c r="G12" i="18"/>
  <c r="F12" i="18"/>
  <c r="E12" i="18" s="1"/>
  <c r="D12" i="18" s="1"/>
  <c r="E23" i="17"/>
  <c r="D23" i="17"/>
  <c r="E22" i="17"/>
  <c r="D22" i="17"/>
  <c r="E21" i="17"/>
  <c r="D21" i="17"/>
  <c r="E20" i="17"/>
  <c r="D20" i="17"/>
  <c r="E19" i="17"/>
  <c r="D19" i="17"/>
  <c r="E17" i="17"/>
  <c r="D17" i="17" s="1"/>
  <c r="E16" i="17"/>
  <c r="D16" i="17"/>
  <c r="E15" i="17"/>
  <c r="D15" i="17"/>
  <c r="E14" i="17"/>
  <c r="D14" i="17"/>
  <c r="E70" i="14"/>
  <c r="J70" i="14" s="1"/>
  <c r="L70" i="14" s="1"/>
  <c r="E69" i="14"/>
  <c r="J69" i="14" s="1"/>
  <c r="L69" i="14" s="1"/>
  <c r="E68" i="14"/>
  <c r="J68" i="14" s="1"/>
  <c r="L68" i="14" s="1"/>
  <c r="E67" i="14"/>
  <c r="J67" i="14" s="1"/>
  <c r="L67" i="14" s="1"/>
  <c r="D67" i="14"/>
  <c r="E66" i="14"/>
  <c r="J66" i="14" s="1"/>
  <c r="L66" i="14" s="1"/>
  <c r="D66" i="14"/>
  <c r="J65" i="14"/>
  <c r="L65" i="14" s="1"/>
  <c r="E65" i="14"/>
  <c r="D65" i="14" s="1"/>
  <c r="E64" i="14"/>
  <c r="J64" i="14" s="1"/>
  <c r="L64" i="14" s="1"/>
  <c r="E63" i="14"/>
  <c r="J63" i="14" s="1"/>
  <c r="L63" i="14" s="1"/>
  <c r="D63" i="14"/>
  <c r="E62" i="14"/>
  <c r="J62" i="14" s="1"/>
  <c r="L62" i="14" s="1"/>
  <c r="D62" i="14"/>
  <c r="E61" i="14"/>
  <c r="J61" i="14" s="1"/>
  <c r="L61" i="14" s="1"/>
  <c r="D61" i="14"/>
  <c r="J60" i="14"/>
  <c r="L60" i="14" s="1"/>
  <c r="E60" i="14"/>
  <c r="D60" i="14"/>
  <c r="E59" i="14"/>
  <c r="J59" i="14" s="1"/>
  <c r="L59" i="14" s="1"/>
  <c r="E58" i="14"/>
  <c r="J58" i="14" s="1"/>
  <c r="L58" i="14" s="1"/>
  <c r="D58" i="14"/>
  <c r="E57" i="14"/>
  <c r="J57" i="14" s="1"/>
  <c r="L57" i="14" s="1"/>
  <c r="J56" i="14"/>
  <c r="L56" i="14" s="1"/>
  <c r="E56" i="14"/>
  <c r="D56" i="14"/>
  <c r="E55" i="14"/>
  <c r="J55" i="14" s="1"/>
  <c r="L55" i="14" s="1"/>
  <c r="D55" i="14"/>
  <c r="J54" i="14"/>
  <c r="L54" i="14" s="1"/>
  <c r="E54" i="14"/>
  <c r="D54" i="14" s="1"/>
  <c r="E53" i="14"/>
  <c r="J53" i="14" s="1"/>
  <c r="L53" i="14" s="1"/>
  <c r="E52" i="14"/>
  <c r="J52" i="14" s="1"/>
  <c r="L52" i="14" s="1"/>
  <c r="D52" i="14"/>
  <c r="E51" i="14"/>
  <c r="J51" i="14" s="1"/>
  <c r="L51" i="14" s="1"/>
  <c r="D51" i="14"/>
  <c r="E50" i="14"/>
  <c r="J50" i="14" s="1"/>
  <c r="L50" i="14" s="1"/>
  <c r="D50" i="14"/>
  <c r="J49" i="14"/>
  <c r="L49" i="14" s="1"/>
  <c r="E49" i="14"/>
  <c r="D49" i="14"/>
  <c r="E48" i="14"/>
  <c r="J48" i="14" s="1"/>
  <c r="L48" i="14" s="1"/>
  <c r="E47" i="14"/>
  <c r="J47" i="14" s="1"/>
  <c r="L47" i="14" s="1"/>
  <c r="D47" i="14"/>
  <c r="E46" i="14"/>
  <c r="J46" i="14" s="1"/>
  <c r="L46" i="14" s="1"/>
  <c r="J45" i="14"/>
  <c r="L45" i="14" s="1"/>
  <c r="E45" i="14"/>
  <c r="D45" i="14"/>
  <c r="E44" i="14"/>
  <c r="J44" i="14" s="1"/>
  <c r="L44" i="14" s="1"/>
  <c r="D44" i="14"/>
  <c r="J43" i="14"/>
  <c r="L43" i="14" s="1"/>
  <c r="E43" i="14"/>
  <c r="D43" i="14" s="1"/>
  <c r="E42" i="14"/>
  <c r="J42" i="14" s="1"/>
  <c r="L42" i="14" s="1"/>
  <c r="E41" i="14"/>
  <c r="J41" i="14" s="1"/>
  <c r="L41" i="14" s="1"/>
  <c r="D41" i="14"/>
  <c r="E40" i="14"/>
  <c r="J40" i="14" s="1"/>
  <c r="L40" i="14" s="1"/>
  <c r="D40" i="14"/>
  <c r="E39" i="14"/>
  <c r="J39" i="14" s="1"/>
  <c r="L39" i="14" s="1"/>
  <c r="D39" i="14"/>
  <c r="J38" i="14"/>
  <c r="L38" i="14" s="1"/>
  <c r="E38" i="14"/>
  <c r="D38" i="14"/>
  <c r="E37" i="14"/>
  <c r="J37" i="14" s="1"/>
  <c r="L37" i="14" s="1"/>
  <c r="E36" i="14"/>
  <c r="J36" i="14" s="1"/>
  <c r="L36" i="14" s="1"/>
  <c r="D36" i="14"/>
  <c r="E35" i="14"/>
  <c r="J35" i="14" s="1"/>
  <c r="L35" i="14" s="1"/>
  <c r="J34" i="14"/>
  <c r="L34" i="14" s="1"/>
  <c r="E34" i="14"/>
  <c r="D34" i="14"/>
  <c r="E33" i="14"/>
  <c r="J33" i="14" s="1"/>
  <c r="L33" i="14" s="1"/>
  <c r="D33" i="14"/>
  <c r="J32" i="14"/>
  <c r="L32" i="14" s="1"/>
  <c r="E32" i="14"/>
  <c r="D32" i="14" s="1"/>
  <c r="E31" i="14"/>
  <c r="J31" i="14" s="1"/>
  <c r="L31" i="14" s="1"/>
  <c r="E30" i="14"/>
  <c r="J30" i="14" s="1"/>
  <c r="L30" i="14" s="1"/>
  <c r="D30" i="14"/>
  <c r="E29" i="14"/>
  <c r="J29" i="14" s="1"/>
  <c r="L29" i="14" s="1"/>
  <c r="D29" i="14"/>
  <c r="E28" i="14"/>
  <c r="J28" i="14" s="1"/>
  <c r="L28" i="14" s="1"/>
  <c r="D28" i="14"/>
  <c r="J26" i="14"/>
  <c r="L26" i="14" s="1"/>
  <c r="E26" i="14"/>
  <c r="D26" i="14"/>
  <c r="E25" i="14"/>
  <c r="J25" i="14" s="1"/>
  <c r="L25" i="14" s="1"/>
  <c r="E24" i="14"/>
  <c r="J24" i="14" s="1"/>
  <c r="L24" i="14" s="1"/>
  <c r="D24" i="14"/>
  <c r="E23" i="14"/>
  <c r="J23" i="14" s="1"/>
  <c r="L23" i="14" s="1"/>
  <c r="J22" i="14"/>
  <c r="L22" i="14" s="1"/>
  <c r="E22" i="14"/>
  <c r="D22" i="14"/>
  <c r="E21" i="14"/>
  <c r="J21" i="14" s="1"/>
  <c r="L21" i="14" s="1"/>
  <c r="D21" i="14"/>
  <c r="J20" i="14"/>
  <c r="L20" i="14" s="1"/>
  <c r="E20" i="14"/>
  <c r="D20" i="14"/>
  <c r="K18" i="14"/>
  <c r="I18" i="14"/>
  <c r="H18" i="14"/>
  <c r="G18" i="14"/>
  <c r="F18" i="14"/>
  <c r="E17" i="14"/>
  <c r="J17" i="14" s="1"/>
  <c r="L17" i="14" s="1"/>
  <c r="E16" i="14"/>
  <c r="J16" i="14" s="1"/>
  <c r="L16" i="14" s="1"/>
  <c r="D16" i="14"/>
  <c r="E15" i="14"/>
  <c r="D15" i="14" s="1"/>
  <c r="E14" i="14"/>
  <c r="J14" i="14" s="1"/>
  <c r="D14" i="14"/>
  <c r="E13" i="14"/>
  <c r="J13" i="14" s="1"/>
  <c r="D13" i="14"/>
  <c r="H70" i="13"/>
  <c r="C70" i="13"/>
  <c r="K70" i="13" s="1"/>
  <c r="H69" i="13"/>
  <c r="C69" i="13"/>
  <c r="K69" i="13" s="1"/>
  <c r="H68" i="13"/>
  <c r="C68" i="13"/>
  <c r="K68" i="13" s="1"/>
  <c r="H67" i="13"/>
  <c r="C67" i="13"/>
  <c r="K67" i="13" s="1"/>
  <c r="H66" i="13"/>
  <c r="C66" i="13"/>
  <c r="K66" i="13" s="1"/>
  <c r="H65" i="13"/>
  <c r="C65" i="13"/>
  <c r="K65" i="13" s="1"/>
  <c r="H64" i="13"/>
  <c r="C64" i="13"/>
  <c r="K64" i="13" s="1"/>
  <c r="K63" i="13"/>
  <c r="H63" i="13"/>
  <c r="C63" i="13"/>
  <c r="H62" i="13"/>
  <c r="C62" i="13"/>
  <c r="K62" i="13" s="1"/>
  <c r="H61" i="13"/>
  <c r="C61" i="13"/>
  <c r="K61" i="13" s="1"/>
  <c r="H60" i="13"/>
  <c r="C60" i="13"/>
  <c r="K60" i="13" s="1"/>
  <c r="H59" i="13"/>
  <c r="C59" i="13"/>
  <c r="K59" i="13" s="1"/>
  <c r="H58" i="13"/>
  <c r="C58" i="13"/>
  <c r="K58" i="13" s="1"/>
  <c r="H57" i="13"/>
  <c r="C57" i="13"/>
  <c r="K57" i="13" s="1"/>
  <c r="H56" i="13"/>
  <c r="K56" i="13" s="1"/>
  <c r="C56" i="13"/>
  <c r="H55" i="13"/>
  <c r="C55" i="13"/>
  <c r="K55" i="13" s="1"/>
  <c r="H54" i="13"/>
  <c r="C54" i="13"/>
  <c r="K54" i="13" s="1"/>
  <c r="H53" i="13"/>
  <c r="C53" i="13"/>
  <c r="K53" i="13" s="1"/>
  <c r="H52" i="13"/>
  <c r="C52" i="13"/>
  <c r="K52" i="13" s="1"/>
  <c r="H51" i="13"/>
  <c r="C51" i="13"/>
  <c r="K51" i="13" s="1"/>
  <c r="H50" i="13"/>
  <c r="C50" i="13"/>
  <c r="K50" i="13" s="1"/>
  <c r="H49" i="13"/>
  <c r="C49" i="13"/>
  <c r="K49" i="13" s="1"/>
  <c r="H48" i="13"/>
  <c r="C48" i="13"/>
  <c r="K48" i="13" s="1"/>
  <c r="H47" i="13"/>
  <c r="C47" i="13"/>
  <c r="K47" i="13" s="1"/>
  <c r="H46" i="13"/>
  <c r="C46" i="13"/>
  <c r="K46" i="13" s="1"/>
  <c r="H45" i="13"/>
  <c r="C45" i="13"/>
  <c r="K45" i="13" s="1"/>
  <c r="H44" i="13"/>
  <c r="C44" i="13"/>
  <c r="K44" i="13" s="1"/>
  <c r="H43" i="13"/>
  <c r="C43" i="13"/>
  <c r="K43" i="13" s="1"/>
  <c r="H42" i="13"/>
  <c r="C42" i="13"/>
  <c r="K42" i="13" s="1"/>
  <c r="K41" i="13"/>
  <c r="H41" i="13"/>
  <c r="C41" i="13"/>
  <c r="H40" i="13"/>
  <c r="C40" i="13"/>
  <c r="K40" i="13" s="1"/>
  <c r="H39" i="13"/>
  <c r="C39" i="13"/>
  <c r="K39" i="13" s="1"/>
  <c r="H38" i="13"/>
  <c r="C38" i="13"/>
  <c r="K38" i="13" s="1"/>
  <c r="H37" i="13"/>
  <c r="C37" i="13"/>
  <c r="K37" i="13" s="1"/>
  <c r="H36" i="13"/>
  <c r="C36" i="13"/>
  <c r="K36" i="13" s="1"/>
  <c r="H35" i="13"/>
  <c r="C35" i="13"/>
  <c r="K35" i="13" s="1"/>
  <c r="H34" i="13"/>
  <c r="K34" i="13" s="1"/>
  <c r="C34" i="13"/>
  <c r="H33" i="13"/>
  <c r="C33" i="13"/>
  <c r="K33" i="13" s="1"/>
  <c r="H32" i="13"/>
  <c r="C32" i="13"/>
  <c r="K32" i="13" s="1"/>
  <c r="H31" i="13"/>
  <c r="C31" i="13"/>
  <c r="K31" i="13" s="1"/>
  <c r="H30" i="13"/>
  <c r="C30" i="13"/>
  <c r="K30" i="13" s="1"/>
  <c r="H29" i="13"/>
  <c r="C29" i="13"/>
  <c r="K29" i="13" s="1"/>
  <c r="H28" i="13"/>
  <c r="C28" i="13"/>
  <c r="K28" i="13" s="1"/>
  <c r="H26" i="13"/>
  <c r="C26" i="13"/>
  <c r="K26" i="13" s="1"/>
  <c r="H25" i="13"/>
  <c r="C25" i="13"/>
  <c r="K25" i="13" s="1"/>
  <c r="H24" i="13"/>
  <c r="C24" i="13"/>
  <c r="K24" i="13" s="1"/>
  <c r="H23" i="13"/>
  <c r="C23" i="13"/>
  <c r="K23" i="13" s="1"/>
  <c r="H22" i="13"/>
  <c r="C22" i="13"/>
  <c r="K22" i="13" s="1"/>
  <c r="H21" i="13"/>
  <c r="C21" i="13"/>
  <c r="K21" i="13" s="1"/>
  <c r="H20" i="13"/>
  <c r="C20" i="13"/>
  <c r="K20" i="13" s="1"/>
  <c r="J18" i="13"/>
  <c r="I18" i="13"/>
  <c r="H18" i="13"/>
  <c r="K18" i="13" s="1"/>
  <c r="G18" i="13"/>
  <c r="F18" i="13"/>
  <c r="E18" i="13"/>
  <c r="D18" i="13"/>
  <c r="C18" i="13"/>
  <c r="H17" i="13"/>
  <c r="C17" i="13"/>
  <c r="K17" i="13" s="1"/>
  <c r="H16" i="13"/>
  <c r="C16" i="13"/>
  <c r="K16" i="13" s="1"/>
  <c r="H15" i="13"/>
  <c r="C15" i="13"/>
  <c r="K15" i="13" s="1"/>
  <c r="C14" i="13"/>
  <c r="K14" i="13" s="1"/>
  <c r="C13" i="13"/>
  <c r="K13" i="13" s="1"/>
  <c r="K70" i="12"/>
  <c r="C70" i="12"/>
  <c r="K69" i="12"/>
  <c r="C69" i="12"/>
  <c r="K68" i="12"/>
  <c r="C68" i="12"/>
  <c r="C67" i="12"/>
  <c r="K66" i="12"/>
  <c r="C66" i="12"/>
  <c r="C65" i="12"/>
  <c r="K64" i="12"/>
  <c r="C64" i="12"/>
  <c r="K63" i="12"/>
  <c r="C63" i="12"/>
  <c r="C62" i="12"/>
  <c r="C61" i="12"/>
  <c r="K60" i="12"/>
  <c r="C60" i="12"/>
  <c r="K59" i="12"/>
  <c r="C59" i="12"/>
  <c r="K58" i="12"/>
  <c r="C58" i="12"/>
  <c r="K57" i="12"/>
  <c r="C57" i="12"/>
  <c r="K56" i="12"/>
  <c r="C56" i="12"/>
  <c r="C55" i="12"/>
  <c r="K54" i="12"/>
  <c r="C54" i="12"/>
  <c r="K53" i="12"/>
  <c r="C53" i="12"/>
  <c r="K52" i="12"/>
  <c r="C52" i="12"/>
  <c r="K51" i="12"/>
  <c r="C51" i="12"/>
  <c r="K50" i="12"/>
  <c r="C50" i="12"/>
  <c r="K49" i="12"/>
  <c r="C49" i="12"/>
  <c r="K48" i="12"/>
  <c r="C48" i="12"/>
  <c r="K47" i="12"/>
  <c r="C47" i="12"/>
  <c r="C46" i="12"/>
  <c r="K45" i="12"/>
  <c r="C45" i="12"/>
  <c r="K44" i="12"/>
  <c r="C44" i="12"/>
  <c r="C43" i="12"/>
  <c r="K42" i="12"/>
  <c r="C42" i="12"/>
  <c r="K41" i="12"/>
  <c r="C41" i="12"/>
  <c r="K40" i="12"/>
  <c r="C40" i="12"/>
  <c r="K39" i="12"/>
  <c r="C39" i="12"/>
  <c r="K38" i="12"/>
  <c r="C38" i="12"/>
  <c r="K37" i="12"/>
  <c r="C37" i="12"/>
  <c r="K36" i="12"/>
  <c r="C36" i="12"/>
  <c r="K35" i="12"/>
  <c r="C35" i="12"/>
  <c r="K34" i="12"/>
  <c r="C34" i="12"/>
  <c r="K33" i="12"/>
  <c r="C33" i="12"/>
  <c r="K32" i="12"/>
  <c r="C32" i="12"/>
  <c r="K31" i="12"/>
  <c r="C31" i="12"/>
  <c r="K30" i="12"/>
  <c r="C30" i="12"/>
  <c r="C29" i="12"/>
  <c r="K28" i="12"/>
  <c r="C28" i="12"/>
  <c r="K26" i="12"/>
  <c r="C26" i="12"/>
  <c r="K25" i="12"/>
  <c r="C25" i="12"/>
  <c r="K24" i="12"/>
  <c r="C24" i="12"/>
  <c r="K23" i="12"/>
  <c r="C23" i="12"/>
  <c r="K22" i="12"/>
  <c r="K18" i="12" s="1"/>
  <c r="C22" i="12"/>
  <c r="K21" i="12"/>
  <c r="C21" i="12"/>
  <c r="K20" i="12"/>
  <c r="C20" i="12"/>
  <c r="J18" i="12"/>
  <c r="I18" i="12"/>
  <c r="H18" i="12"/>
  <c r="G18" i="12"/>
  <c r="F18" i="12"/>
  <c r="E18" i="12"/>
  <c r="D18" i="12"/>
  <c r="C18" i="12"/>
  <c r="C17" i="12"/>
  <c r="C16" i="12"/>
  <c r="C15" i="12"/>
  <c r="C14" i="12"/>
  <c r="C13" i="12"/>
  <c r="C12" i="12"/>
  <c r="I19" i="11"/>
  <c r="H19" i="11"/>
  <c r="E19" i="11"/>
  <c r="D19" i="11"/>
  <c r="I14" i="11"/>
  <c r="H14" i="11"/>
  <c r="E14" i="11"/>
  <c r="D14" i="11"/>
  <c r="K12" i="11"/>
  <c r="J12" i="11"/>
  <c r="I12" i="11"/>
  <c r="H12" i="11"/>
  <c r="F12" i="11"/>
  <c r="E12" i="11"/>
  <c r="D12" i="11"/>
  <c r="K51" i="10"/>
  <c r="K50" i="10"/>
  <c r="K49" i="10"/>
  <c r="K48" i="10"/>
  <c r="K47" i="10"/>
  <c r="I36" i="10"/>
  <c r="H36" i="10"/>
  <c r="G36" i="10"/>
  <c r="F36" i="10"/>
  <c r="E36" i="10"/>
  <c r="D36" i="10"/>
  <c r="I35" i="10"/>
  <c r="H35" i="10"/>
  <c r="G35" i="10"/>
  <c r="F35" i="10"/>
  <c r="E35" i="10"/>
  <c r="D35" i="10"/>
  <c r="I34" i="10"/>
  <c r="H34" i="10"/>
  <c r="G34" i="10"/>
  <c r="F34" i="10"/>
  <c r="E34" i="10"/>
  <c r="C19" i="10" s="1"/>
  <c r="D34" i="10"/>
  <c r="I33" i="10"/>
  <c r="G33" i="10"/>
  <c r="F33" i="10"/>
  <c r="E33" i="10"/>
  <c r="D33" i="10"/>
  <c r="C33" i="10"/>
  <c r="I32" i="10"/>
  <c r="G32" i="10"/>
  <c r="F32" i="10"/>
  <c r="E32" i="10"/>
  <c r="D32" i="10"/>
  <c r="C32" i="10"/>
  <c r="J21" i="10"/>
  <c r="I21" i="10"/>
  <c r="H21" i="10"/>
  <c r="G21" i="10"/>
  <c r="F21" i="10"/>
  <c r="E21" i="10"/>
  <c r="D21" i="10"/>
  <c r="C21" i="10"/>
  <c r="J20" i="10"/>
  <c r="C20" i="10" s="1"/>
  <c r="I20" i="10"/>
  <c r="H20" i="10"/>
  <c r="G20" i="10"/>
  <c r="E20" i="10"/>
  <c r="D20" i="10"/>
  <c r="K19" i="10"/>
  <c r="K18" i="10"/>
  <c r="J18" i="10"/>
  <c r="I18" i="10"/>
  <c r="H18" i="10"/>
  <c r="G18" i="10"/>
  <c r="E18" i="10"/>
  <c r="D18" i="10"/>
  <c r="C18" i="10"/>
  <c r="K17" i="10"/>
  <c r="J17" i="10"/>
  <c r="I17" i="10"/>
  <c r="H17" i="10"/>
  <c r="G17" i="10"/>
  <c r="E17" i="10"/>
  <c r="C17" i="10" s="1"/>
  <c r="D17" i="10"/>
  <c r="C15" i="10"/>
  <c r="C14" i="10"/>
  <c r="C13" i="10"/>
  <c r="G20" i="9"/>
  <c r="F20" i="9"/>
  <c r="E20" i="9"/>
  <c r="F13" i="8"/>
  <c r="E13" i="8"/>
  <c r="D13" i="8"/>
  <c r="C13" i="8"/>
  <c r="F13" i="7"/>
  <c r="E13" i="7"/>
  <c r="D13" i="7"/>
  <c r="C13" i="7"/>
  <c r="H24" i="6"/>
  <c r="E24" i="6"/>
  <c r="D24" i="6"/>
  <c r="C24" i="6"/>
  <c r="H23" i="6"/>
  <c r="E23" i="6"/>
  <c r="D23" i="6"/>
  <c r="C23" i="6"/>
  <c r="C39" i="5"/>
  <c r="C38" i="5"/>
  <c r="C37" i="5"/>
  <c r="C36" i="5"/>
  <c r="C34" i="5"/>
  <c r="C33" i="5"/>
  <c r="C32" i="5"/>
  <c r="C31" i="5"/>
  <c r="C29" i="5"/>
  <c r="C28" i="5"/>
  <c r="J25" i="5"/>
  <c r="I25" i="5"/>
  <c r="H25" i="5"/>
  <c r="G25" i="5"/>
  <c r="E25" i="5"/>
  <c r="D25" i="5"/>
  <c r="C25" i="5" s="1"/>
  <c r="C24" i="5"/>
  <c r="C23" i="5"/>
  <c r="C21" i="5"/>
  <c r="C20" i="5"/>
  <c r="C19" i="5"/>
  <c r="C17" i="5"/>
  <c r="C16" i="5"/>
  <c r="C15" i="5"/>
  <c r="C13" i="5"/>
  <c r="C12" i="5"/>
  <c r="C35" i="4"/>
  <c r="C34" i="4"/>
  <c r="C33" i="4"/>
  <c r="C32" i="4"/>
  <c r="C31" i="4"/>
  <c r="C29" i="4"/>
  <c r="C28" i="4"/>
  <c r="C27" i="4"/>
  <c r="C26" i="4"/>
  <c r="C25" i="4"/>
  <c r="J23" i="4"/>
  <c r="I23" i="4"/>
  <c r="H23" i="4"/>
  <c r="C23" i="4" s="1"/>
  <c r="G23" i="4"/>
  <c r="F23" i="4"/>
  <c r="D23" i="4"/>
  <c r="C22" i="4"/>
  <c r="C21" i="4"/>
  <c r="C20" i="4"/>
  <c r="C19" i="4"/>
  <c r="C18" i="4"/>
  <c r="C17" i="4"/>
  <c r="C16" i="4"/>
  <c r="C15" i="4"/>
  <c r="C13" i="4"/>
  <c r="C12" i="4"/>
  <c r="J15" i="14" l="1"/>
  <c r="L15" i="14" s="1"/>
  <c r="D17" i="14"/>
  <c r="D23" i="14"/>
  <c r="D18" i="14" s="1"/>
  <c r="D35" i="14"/>
  <c r="D46" i="14"/>
  <c r="D57" i="14"/>
  <c r="D68" i="14"/>
  <c r="D69" i="14"/>
  <c r="E18" i="14"/>
  <c r="J18" i="14" s="1"/>
  <c r="L18" i="14" s="1"/>
  <c r="D31" i="14"/>
  <c r="D42" i="14"/>
  <c r="D53" i="14"/>
  <c r="D64" i="14"/>
  <c r="D25" i="14"/>
  <c r="D37" i="14"/>
  <c r="D48" i="14"/>
  <c r="D59" i="14"/>
  <c r="D70" i="14"/>
</calcChain>
</file>

<file path=xl/sharedStrings.xml><?xml version="1.0" encoding="utf-8"?>
<sst xmlns="http://schemas.openxmlformats.org/spreadsheetml/2006/main" count="3708" uniqueCount="857">
  <si>
    <t>Ｔ-10 保健所，就業場所別助産婦数</t>
  </si>
  <si>
    <t xml:space="preserve">       （12月31日現在）</t>
  </si>
  <si>
    <t>単位：人</t>
  </si>
  <si>
    <t xml:space="preserve">   保 健 所</t>
  </si>
  <si>
    <t xml:space="preserve">   総 数</t>
  </si>
  <si>
    <t>助産所</t>
  </si>
  <si>
    <t xml:space="preserve"> 学校･養成</t>
  </si>
  <si>
    <t xml:space="preserve"> 開設者</t>
  </si>
  <si>
    <t xml:space="preserve"> 従事者</t>
  </si>
  <si>
    <t xml:space="preserve"> 出張のみ</t>
  </si>
  <si>
    <t>病院</t>
  </si>
  <si>
    <t xml:space="preserve"> 診療所</t>
  </si>
  <si>
    <t>保健所</t>
  </si>
  <si>
    <t xml:space="preserve"> 所･その他</t>
  </si>
  <si>
    <t>昭和50年 1975</t>
  </si>
  <si>
    <t xml:space="preserve">    55   1980</t>
  </si>
  <si>
    <t xml:space="preserve">    56   1981</t>
  </si>
  <si>
    <t xml:space="preserve">    57   1982</t>
  </si>
  <si>
    <t>　</t>
  </si>
  <si>
    <t xml:space="preserve">    59   1984</t>
  </si>
  <si>
    <t>－</t>
    <phoneticPr fontId="4"/>
  </si>
  <si>
    <t xml:space="preserve">    61   1986</t>
  </si>
  <si>
    <t xml:space="preserve">    63   1988</t>
  </si>
  <si>
    <t>平成 2   1990</t>
  </si>
  <si>
    <t xml:space="preserve">     4   1992</t>
  </si>
  <si>
    <t xml:space="preserve">     6   1994</t>
  </si>
  <si>
    <t xml:space="preserve">    8   1996</t>
    <phoneticPr fontId="4"/>
  </si>
  <si>
    <t xml:space="preserve">  和歌山市中央</t>
  </si>
  <si>
    <t xml:space="preserve">  和歌山市西</t>
  </si>
  <si>
    <t xml:space="preserve">  海南 </t>
  </si>
  <si>
    <t xml:space="preserve">  岩出 </t>
  </si>
  <si>
    <t xml:space="preserve">  高野口</t>
  </si>
  <si>
    <t xml:space="preserve">  湯浅 </t>
  </si>
  <si>
    <t xml:space="preserve">  御坊 </t>
  </si>
  <si>
    <t xml:space="preserve">  田辺 </t>
  </si>
  <si>
    <t xml:space="preserve">  古座</t>
  </si>
  <si>
    <t xml:space="preserve">  新宮</t>
  </si>
  <si>
    <t xml:space="preserve">             資料：県医務課「保健統計年報」</t>
  </si>
  <si>
    <t>Ｔ-11 保健所，就業場別保健婦数</t>
  </si>
  <si>
    <t xml:space="preserve">          （12月31日現在）</t>
  </si>
  <si>
    <t xml:space="preserve">   保健婦</t>
  </si>
  <si>
    <t xml:space="preserve"> 保健婦･学</t>
  </si>
  <si>
    <t xml:space="preserve">       保健所</t>
  </si>
  <si>
    <t>病院・</t>
  </si>
  <si>
    <t xml:space="preserve">  総  数</t>
  </si>
  <si>
    <t xml:space="preserve"> 校･養成所</t>
  </si>
  <si>
    <t>所内</t>
  </si>
  <si>
    <t>所外</t>
  </si>
  <si>
    <t>市町村</t>
  </si>
  <si>
    <t>診療所</t>
  </si>
  <si>
    <t>事業所</t>
  </si>
  <si>
    <t>その他</t>
  </si>
  <si>
    <t>－</t>
    <phoneticPr fontId="4"/>
  </si>
  <si>
    <t xml:space="preserve">    8   1996</t>
    <phoneticPr fontId="4"/>
  </si>
  <si>
    <t xml:space="preserve"> [保健所別]</t>
  </si>
  <si>
    <t>資料：県医務課「保健統計年報」</t>
  </si>
  <si>
    <t>Ｔ-12 その他の医療従事者数</t>
  </si>
  <si>
    <t xml:space="preserve">        （12月31日現在）</t>
  </si>
  <si>
    <t xml:space="preserve">  あんま･</t>
  </si>
  <si>
    <t xml:space="preserve"> ﾏｯｻ-ｼﾞ･</t>
  </si>
  <si>
    <t>はり師</t>
  </si>
  <si>
    <t>きゅう師</t>
  </si>
  <si>
    <t xml:space="preserve">  柔道</t>
  </si>
  <si>
    <t xml:space="preserve">  歯科</t>
  </si>
  <si>
    <t xml:space="preserve">  指圧師</t>
  </si>
  <si>
    <t>整復師</t>
  </si>
  <si>
    <t xml:space="preserve">  衛生士</t>
  </si>
  <si>
    <t xml:space="preserve">  技工士</t>
  </si>
  <si>
    <t xml:space="preserve">    8   1996</t>
    <phoneticPr fontId="4"/>
  </si>
  <si>
    <t>Ｔ-13 市町村別医薬品営業施設数</t>
  </si>
  <si>
    <t xml:space="preserve"> </t>
  </si>
  <si>
    <t xml:space="preserve"> ( 3月末現在)</t>
  </si>
  <si>
    <t xml:space="preserve"> 医薬品営業施設数</t>
  </si>
  <si>
    <t xml:space="preserve">  一般</t>
  </si>
  <si>
    <t xml:space="preserve"> 薬種商</t>
  </si>
  <si>
    <t xml:space="preserve">  特例</t>
  </si>
  <si>
    <t>薬 局</t>
  </si>
  <si>
    <t xml:space="preserve">  販売業</t>
  </si>
  <si>
    <t xml:space="preserve"> 販売業</t>
  </si>
  <si>
    <t>平成10年1998</t>
  </si>
  <si>
    <t xml:space="preserve">   11  1999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</si>
  <si>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</si>
  <si>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</si>
  <si>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</si>
  <si>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</si>
  <si>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</si>
  <si>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</si>
  <si>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</si>
  <si>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下 津 町</t>
  </si>
  <si>
    <t>－</t>
    <phoneticPr fontId="4"/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</si>
  <si>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</si>
  <si>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</si>
  <si>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</si>
  <si>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</si>
  <si>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</si>
  <si>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</si>
  <si>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</si>
  <si>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</si>
  <si>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</si>
  <si>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</si>
  <si>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</si>
  <si>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</si>
  <si>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</si>
  <si>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</si>
  <si>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</si>
  <si>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</si>
  <si>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</si>
  <si>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</si>
  <si>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</si>
  <si>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</si>
  <si>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</si>
  <si>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</si>
  <si>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</si>
  <si>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</si>
  <si>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</si>
  <si>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</si>
  <si>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</si>
  <si>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</si>
  <si>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</si>
  <si>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</si>
  <si>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</si>
  <si>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</si>
  <si>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</si>
  <si>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</si>
  <si>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</si>
  <si>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</si>
  <si>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 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</si>
  <si>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</si>
  <si>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</si>
  <si>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</si>
  <si>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</si>
  <si>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</si>
  <si>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資料：県薬務課，社会人口体系収集資料</t>
  </si>
  <si>
    <t>Ｔ-14 市町村別環境衛生営業施設数</t>
  </si>
  <si>
    <t xml:space="preserve">          (3月末現在)</t>
  </si>
  <si>
    <t xml:space="preserve"> 理容所</t>
  </si>
  <si>
    <t xml:space="preserve"> 美容所</t>
  </si>
  <si>
    <t>ｸﾘ-ﾆﾝｸﾞ所</t>
  </si>
  <si>
    <t>公衆浴場</t>
  </si>
  <si>
    <t>･･･</t>
  </si>
  <si>
    <t xml:space="preserve">   11  1999</t>
    <phoneticPr fontId="4"/>
  </si>
  <si>
    <t>－</t>
    <phoneticPr fontId="4"/>
  </si>
  <si>
    <t xml:space="preserve">  資料：県生活衛生課,社会人口体系収集資料</t>
  </si>
  <si>
    <t>Ｔ-15 食品衛生監視対象施設数</t>
  </si>
  <si>
    <t>（12月31日現在）</t>
  </si>
  <si>
    <t xml:space="preserve"> ホテル･</t>
  </si>
  <si>
    <t xml:space="preserve">  氷 雪</t>
  </si>
  <si>
    <t xml:space="preserve">       興行場</t>
  </si>
  <si>
    <t xml:space="preserve">    公衆浴場</t>
  </si>
  <si>
    <t xml:space="preserve"> 旅館･簡</t>
  </si>
  <si>
    <t xml:space="preserve"> (ｱｲｽｸﾘ-ﾑ</t>
  </si>
  <si>
    <t xml:space="preserve">  飲食店</t>
  </si>
  <si>
    <t xml:space="preserve"> 食肉販売</t>
  </si>
  <si>
    <t xml:space="preserve">   映画館</t>
  </si>
  <si>
    <t xml:space="preserve"> その他</t>
  </si>
  <si>
    <t xml:space="preserve">  一 般</t>
  </si>
  <si>
    <t xml:space="preserve">  特 殊</t>
  </si>
  <si>
    <t xml:space="preserve"> 易宿泊所</t>
  </si>
  <si>
    <t xml:space="preserve">  販売)</t>
  </si>
  <si>
    <t xml:space="preserve">  営業</t>
  </si>
  <si>
    <t xml:space="preserve">    60   1985</t>
  </si>
  <si>
    <t xml:space="preserve">     5   1993</t>
  </si>
  <si>
    <t xml:space="preserve">     7   1995</t>
  </si>
  <si>
    <t>Ｔ-16 保健所活動状況</t>
  </si>
  <si>
    <t xml:space="preserve"> 健康診断受診延人員(保健所内＋保健所外)</t>
  </si>
  <si>
    <t xml:space="preserve">  健康診断</t>
  </si>
  <si>
    <t xml:space="preserve">      成人病</t>
  </si>
  <si>
    <t xml:space="preserve">  受診延人</t>
  </si>
  <si>
    <t xml:space="preserve">     結  核</t>
  </si>
  <si>
    <t xml:space="preserve"> 精 神</t>
  </si>
  <si>
    <t xml:space="preserve">  療 育</t>
  </si>
  <si>
    <t>悪性新生物</t>
  </si>
  <si>
    <t xml:space="preserve"> 循環器疾患</t>
  </si>
  <si>
    <t xml:space="preserve">  員総数</t>
  </si>
  <si>
    <t xml:space="preserve"> 定 期</t>
  </si>
  <si>
    <t xml:space="preserve"> 定期外</t>
  </si>
  <si>
    <t xml:space="preserve"> 胃がん</t>
  </si>
  <si>
    <t xml:space="preserve"> 子宮がん</t>
  </si>
  <si>
    <t xml:space="preserve"> 一般診査</t>
  </si>
  <si>
    <t>昭和55年度1980</t>
  </si>
  <si>
    <t xml:space="preserve">    60    1985</t>
  </si>
  <si>
    <t>平成 2    1990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</si>
  <si>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</si>
  <si>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</si>
  <si>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</si>
  <si>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</si>
  <si>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8    1996</t>
    <phoneticPr fontId="4"/>
  </si>
  <si>
    <t xml:space="preserve"> 健康診断受診延人員(保健所内＋保健所外)－続き－</t>
  </si>
  <si>
    <t xml:space="preserve">      母子保健</t>
  </si>
  <si>
    <t xml:space="preserve">   成人病(続き)</t>
  </si>
  <si>
    <t xml:space="preserve"> 母  子</t>
  </si>
  <si>
    <t xml:space="preserve">   妊産婦保健指導</t>
  </si>
  <si>
    <t xml:space="preserve"> 療育を除</t>
  </si>
  <si>
    <t xml:space="preserve"> 一 般</t>
  </si>
  <si>
    <t xml:space="preserve"> (延人員)</t>
  </si>
  <si>
    <t xml:space="preserve"> 精密診査</t>
  </si>
  <si>
    <t xml:space="preserve"> 妊産婦</t>
  </si>
  <si>
    <t xml:space="preserve"> く乳児</t>
  </si>
  <si>
    <t xml:space="preserve"> く幼児</t>
  </si>
  <si>
    <t xml:space="preserve"> 妊  婦</t>
  </si>
  <si>
    <t xml:space="preserve">  産  婦</t>
  </si>
  <si>
    <t>－</t>
    <phoneticPr fontId="4"/>
  </si>
  <si>
    <t xml:space="preserve">    8    1996</t>
    <phoneticPr fontId="4"/>
  </si>
  <si>
    <t xml:space="preserve">     母子保健(続き)</t>
  </si>
  <si>
    <t xml:space="preserve"> 結核予防</t>
  </si>
  <si>
    <t xml:space="preserve">  乳幼児保健指導</t>
  </si>
  <si>
    <t xml:space="preserve">     訪問指導</t>
  </si>
  <si>
    <t xml:space="preserve"> ﾂﾍﾞﾙｸﾘﾝ反</t>
  </si>
  <si>
    <t xml:space="preserve">  ｴｯｸｽ線</t>
  </si>
  <si>
    <t xml:space="preserve">  (延人員)</t>
  </si>
  <si>
    <t>(実人員)</t>
  </si>
  <si>
    <t>(延人員)</t>
  </si>
  <si>
    <t xml:space="preserve"> (実人員)</t>
  </si>
  <si>
    <t xml:space="preserve"> 応検査被</t>
  </si>
  <si>
    <t xml:space="preserve"> B.C.G.</t>
  </si>
  <si>
    <t xml:space="preserve">  撮影者(直</t>
  </si>
  <si>
    <t xml:space="preserve"> 乳 児</t>
  </si>
  <si>
    <t>注)新生児</t>
  </si>
  <si>
    <t xml:space="preserve"> 未熟児</t>
  </si>
  <si>
    <t xml:space="preserve"> 妊娠中毒</t>
  </si>
  <si>
    <t xml:space="preserve"> 注射者数</t>
  </si>
  <si>
    <t xml:space="preserve"> 接種者</t>
  </si>
  <si>
    <t xml:space="preserve"> 接+間接)</t>
  </si>
  <si>
    <t xml:space="preserve">    8    1996</t>
    <phoneticPr fontId="4"/>
  </si>
  <si>
    <t>注）未熟児を除く新生児。</t>
  </si>
  <si>
    <t>Ｔ-17 市町村別献血状況</t>
  </si>
  <si>
    <t xml:space="preserve">  単位：人</t>
    <phoneticPr fontId="4"/>
  </si>
  <si>
    <t xml:space="preserve">     献血受付数</t>
  </si>
  <si>
    <t xml:space="preserve">      採血者数</t>
  </si>
  <si>
    <t xml:space="preserve"> 市 町 村</t>
  </si>
  <si>
    <t xml:space="preserve"> 1995</t>
  </si>
  <si>
    <t xml:space="preserve"> 1996</t>
  </si>
  <si>
    <t xml:space="preserve"> 1997</t>
  </si>
  <si>
    <t xml:space="preserve"> 1998</t>
  </si>
  <si>
    <t>平成 7年度</t>
  </si>
  <si>
    <t>平成 8年度</t>
  </si>
  <si>
    <t>平成 9年度</t>
  </si>
  <si>
    <t>平成10年度</t>
  </si>
  <si>
    <t>県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</si>
  <si>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</si>
  <si>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</si>
  <si>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</si>
  <si>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</si>
  <si>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</si>
  <si>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</si>
  <si>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</si>
  <si>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</si>
  <si>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</si>
  <si>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</si>
  <si>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</si>
  <si>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</si>
  <si>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</si>
  <si>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</si>
  <si>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</si>
  <si>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</si>
  <si>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</si>
  <si>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</si>
  <si>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</si>
  <si>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</si>
  <si>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</si>
  <si>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</si>
  <si>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</si>
  <si>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</si>
  <si>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</si>
  <si>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</si>
  <si>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</si>
  <si>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</si>
  <si>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</si>
  <si>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</si>
  <si>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</si>
  <si>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</si>
  <si>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</si>
  <si>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</si>
  <si>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</si>
  <si>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</si>
  <si>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</si>
  <si>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</si>
  <si>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</si>
  <si>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</si>
  <si>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</si>
  <si>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</si>
  <si>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</si>
  <si>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</si>
  <si>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 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</si>
  <si>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</si>
  <si>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</si>
  <si>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</si>
  <si>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</si>
  <si>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</si>
  <si>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 xml:space="preserve">資料：県薬務課「薬務事業概要」  </t>
  </si>
  <si>
    <t>献血ルームは和歌山市、田辺血液センターは田辺市に含む。</t>
  </si>
  <si>
    <t>Ｔ-18 市町村別ごみ排出量及び処理の状況</t>
  </si>
  <si>
    <t>単位：ﾄﾝ</t>
  </si>
  <si>
    <t>①＋② 総収集量の処理内訳</t>
  </si>
  <si>
    <t>総排出量</t>
  </si>
  <si>
    <t>① 計画</t>
  </si>
  <si>
    <t>② 直接</t>
  </si>
  <si>
    <t xml:space="preserve"> ③ 自家</t>
  </si>
  <si>
    <t xml:space="preserve"> 粗大ゴミ</t>
  </si>
  <si>
    <t xml:space="preserve"> 資源化</t>
  </si>
  <si>
    <t xml:space="preserve"> 再生業者</t>
  </si>
  <si>
    <t xml:space="preserve"> ①+②+③</t>
  </si>
  <si>
    <t xml:space="preserve">  収集量</t>
  </si>
  <si>
    <t xml:space="preserve">  搬入量</t>
  </si>
  <si>
    <t xml:space="preserve">  処理量</t>
  </si>
  <si>
    <t>焼 却</t>
  </si>
  <si>
    <t xml:space="preserve"> 埋め立て</t>
  </si>
  <si>
    <t xml:space="preserve"> 処理施設</t>
  </si>
  <si>
    <t xml:space="preserve"> 等に搬入</t>
  </si>
  <si>
    <t>平成 3年度1991</t>
  </si>
  <si>
    <t xml:space="preserve">     8    1996</t>
  </si>
  <si>
    <t xml:space="preserve">    9    1997</t>
    <phoneticPr fontId="4"/>
  </si>
  <si>
    <t>－</t>
    <phoneticPr fontId="4"/>
  </si>
  <si>
    <t>資料：県自然環境課「環境白書」</t>
  </si>
  <si>
    <t>Ｔ-19 市町村別し尿</t>
  </si>
  <si>
    <t>Ａ．水洗化の状況</t>
  </si>
  <si>
    <t>水洗化率</t>
  </si>
  <si>
    <t xml:space="preserve"> ①水洗</t>
  </si>
  <si>
    <t xml:space="preserve"> 公共</t>
  </si>
  <si>
    <t xml:space="preserve"> 合併</t>
  </si>
  <si>
    <t xml:space="preserve"> 単独</t>
  </si>
  <si>
    <t xml:space="preserve"> 農業</t>
  </si>
  <si>
    <t xml:space="preserve"> ②非水洗</t>
  </si>
  <si>
    <t>①÷</t>
  </si>
  <si>
    <t xml:space="preserve">   化人口</t>
  </si>
  <si>
    <t xml:space="preserve"> 下水道</t>
  </si>
  <si>
    <t xml:space="preserve"> 浄化槽</t>
  </si>
  <si>
    <t xml:space="preserve"> 集落排水</t>
  </si>
  <si>
    <t xml:space="preserve"> 計画収集</t>
  </si>
  <si>
    <t xml:space="preserve"> 自家処理</t>
  </si>
  <si>
    <t>(①＋②)</t>
  </si>
  <si>
    <t>人</t>
  </si>
  <si>
    <t>％</t>
  </si>
  <si>
    <t xml:space="preserve"> 3月末</t>
  </si>
  <si>
    <t xml:space="preserve">　　└─┬────┘  </t>
    <phoneticPr fontId="4"/>
  </si>
  <si>
    <t>平成 5年 1993</t>
  </si>
  <si>
    <t xml:space="preserve">      6   1994</t>
  </si>
  <si>
    <t>－</t>
    <phoneticPr fontId="4"/>
  </si>
  <si>
    <t xml:space="preserve">      7   1995</t>
  </si>
  <si>
    <t xml:space="preserve">      8   1996</t>
  </si>
  <si>
    <t xml:space="preserve">      9   1997</t>
  </si>
  <si>
    <t xml:space="preserve">     10   1998</t>
  </si>
  <si>
    <t>Ｂ．し尿処理の状況</t>
  </si>
  <si>
    <t xml:space="preserve">     　単位：ｋﾘｯﾄﾙ</t>
    <phoneticPr fontId="4"/>
  </si>
  <si>
    <t>総処理量</t>
  </si>
  <si>
    <t xml:space="preserve">     市町村（組合）処理</t>
  </si>
  <si>
    <t>［再掲］</t>
  </si>
  <si>
    <t xml:space="preserve">  収集処理の内容</t>
  </si>
  <si>
    <t>(総排出量)</t>
  </si>
  <si>
    <t>収集処理</t>
  </si>
  <si>
    <t xml:space="preserve"> し尿</t>
  </si>
  <si>
    <t>自家処理</t>
  </si>
  <si>
    <t xml:space="preserve">  浄化槽</t>
  </si>
  <si>
    <t>総数</t>
  </si>
  <si>
    <t>処理施設</t>
  </si>
  <si>
    <t>下水道投入</t>
  </si>
  <si>
    <t>海洋投入</t>
  </si>
  <si>
    <t>し尿</t>
  </si>
  <si>
    <t>汚泥</t>
  </si>
  <si>
    <t>平成 4年度1992</t>
  </si>
  <si>
    <t>－</t>
    <phoneticPr fontId="4"/>
  </si>
  <si>
    <t>－</t>
    <phoneticPr fontId="4"/>
  </si>
  <si>
    <t>Ｔ-20 大気汚染物質測定年度平均値経年変化</t>
  </si>
  <si>
    <t>Ａ．二酸化いおう  年度平均値</t>
  </si>
  <si>
    <t>単位：ppm</t>
  </si>
  <si>
    <t xml:space="preserve"> 1992</t>
  </si>
  <si>
    <t xml:space="preserve"> 1993</t>
  </si>
  <si>
    <t xml:space="preserve"> 1994</t>
  </si>
  <si>
    <t>市，町</t>
  </si>
  <si>
    <t>測定地点名</t>
  </si>
  <si>
    <t>平成 4年度</t>
  </si>
  <si>
    <t>平成 5年度</t>
  </si>
  <si>
    <t>平成 6年度</t>
  </si>
  <si>
    <t>和歌山市</t>
  </si>
  <si>
    <t>血液センタ－</t>
  </si>
  <si>
    <t>西保健センター</t>
  </si>
  <si>
    <t>野崎小学校</t>
  </si>
  <si>
    <t>中之島小学校</t>
  </si>
  <si>
    <t>公害研究センター</t>
  </si>
  <si>
    <t>高松小学校</t>
  </si>
  <si>
    <t>農協名草支店</t>
  </si>
  <si>
    <t>東中学校</t>
  </si>
  <si>
    <t>海南市</t>
  </si>
  <si>
    <t>海南市役所</t>
  </si>
  <si>
    <t>巽小学校</t>
  </si>
  <si>
    <t>北野上小学校</t>
  </si>
  <si>
    <t>下津町</t>
  </si>
  <si>
    <t>下津町役場</t>
  </si>
  <si>
    <t>加茂第一小学校</t>
  </si>
  <si>
    <t>有田市</t>
  </si>
  <si>
    <t>初島支所</t>
  </si>
  <si>
    <t>みかんセンター</t>
  </si>
  <si>
    <t>野上町</t>
  </si>
  <si>
    <t>野上小学校</t>
  </si>
  <si>
    <t>湯浅町</t>
  </si>
  <si>
    <t>耐久高校</t>
  </si>
  <si>
    <t>日高町</t>
  </si>
  <si>
    <t>日高消防</t>
  </si>
  <si>
    <t>美浜町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</si>
  <si>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</si>
  <si>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</si>
  <si>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</si>
  <si>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</si>
  <si>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</si>
  <si>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</si>
  <si>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</si>
  <si>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川辺町</t>
  </si>
  <si>
    <t>川辺農村広場</t>
  </si>
  <si>
    <t>印南町</t>
  </si>
  <si>
    <t>印南原</t>
  </si>
  <si>
    <t>南部町</t>
  </si>
  <si>
    <t>南部町役場</t>
  </si>
  <si>
    <t>Ｂ．いおう酸化物  年度平均値</t>
  </si>
  <si>
    <t xml:space="preserve">   単位：ＳＯ3 mg／100c㎡／日</t>
  </si>
  <si>
    <t>橋本市</t>
  </si>
  <si>
    <t>橋本市役所</t>
  </si>
  <si>
    <t>隅田小学校</t>
  </si>
  <si>
    <t>高野口町</t>
  </si>
  <si>
    <t>高野口町役場</t>
  </si>
  <si>
    <t>応其小学校</t>
  </si>
  <si>
    <t>貴志川町</t>
  </si>
  <si>
    <t>丸栖小学校</t>
  </si>
  <si>
    <t>貴志川中学校</t>
  </si>
  <si>
    <t>岩出町</t>
  </si>
  <si>
    <t>山崎小学校</t>
  </si>
  <si>
    <t>岩出小学校</t>
  </si>
  <si>
    <t>吉備町</t>
  </si>
  <si>
    <t>御霊小学校</t>
  </si>
  <si>
    <t>吉備町役場</t>
  </si>
  <si>
    <t>金屋町</t>
  </si>
  <si>
    <t>金屋町役場</t>
  </si>
  <si>
    <t>五西月小学校</t>
  </si>
  <si>
    <t>広川町</t>
  </si>
  <si>
    <t>広小学校</t>
  </si>
  <si>
    <t>津木中学校</t>
  </si>
  <si>
    <t>田辺市</t>
  </si>
  <si>
    <t>水道事業場</t>
  </si>
  <si>
    <t>第一小学校</t>
  </si>
  <si>
    <t>新宮市</t>
  </si>
  <si>
    <t>新宮市役所</t>
  </si>
  <si>
    <t>城南中学校</t>
  </si>
  <si>
    <t>新宮商業高校</t>
  </si>
  <si>
    <t>Ｔ-20 大気汚染物質測定年度平均値経年変化－続き－</t>
  </si>
  <si>
    <t>Ｃ．二酸化窒素  年度平均値</t>
  </si>
  <si>
    <t>衛生公害研究ｾﾝﾀｰ</t>
  </si>
  <si>
    <t>日進中学校</t>
  </si>
  <si>
    <t>小倉小学校</t>
  </si>
  <si>
    <t>市立和歌山商業</t>
  </si>
  <si>
    <t>中野上小学校</t>
  </si>
  <si>
    <t>Ｄ．オキシダント  年度平均値（昼間）</t>
  </si>
  <si>
    <t>衛生公害研究ｾﾝﾀ-</t>
  </si>
  <si>
    <t>和歌浦小学校</t>
  </si>
  <si>
    <t>西脇小学校</t>
  </si>
  <si>
    <t>黒江小学校</t>
  </si>
  <si>
    <t>内海小学校</t>
  </si>
  <si>
    <t>東海南中学校</t>
  </si>
  <si>
    <t>Ｔ-21 主要河川の水質</t>
  </si>
  <si>
    <t xml:space="preserve">  平成 9年度(1997)平均</t>
  </si>
  <si>
    <t xml:space="preserve">  平成10年度(1998)平均</t>
  </si>
  <si>
    <t xml:space="preserve"> ＤＯ</t>
  </si>
  <si>
    <t xml:space="preserve"> ＢＯＤ</t>
  </si>
  <si>
    <t xml:space="preserve"> ＣＯＤ</t>
  </si>
  <si>
    <t xml:space="preserve"> ＳＳ</t>
  </si>
  <si>
    <t xml:space="preserve"> 溶存</t>
  </si>
  <si>
    <t xml:space="preserve"> 生物化学</t>
  </si>
  <si>
    <t xml:space="preserve"> 化学的 </t>
  </si>
  <si>
    <t xml:space="preserve"> 浮遊</t>
  </si>
  <si>
    <t xml:space="preserve">  大腸菌</t>
  </si>
  <si>
    <t xml:space="preserve"> 酸素量</t>
  </si>
  <si>
    <t xml:space="preserve"> 的酸素</t>
  </si>
  <si>
    <t xml:space="preserve"> 酸素</t>
  </si>
  <si>
    <t xml:space="preserve"> 物質</t>
  </si>
  <si>
    <t xml:space="preserve">  群数</t>
  </si>
  <si>
    <t/>
  </si>
  <si>
    <t xml:space="preserve"> 要求量</t>
  </si>
  <si>
    <t>mg/L</t>
  </si>
  <si>
    <t xml:space="preserve"> MPN/百mL</t>
  </si>
  <si>
    <t>紀ノ川</t>
  </si>
  <si>
    <t>恋野橋</t>
  </si>
  <si>
    <t>三谷橋</t>
  </si>
  <si>
    <t>船戸</t>
  </si>
  <si>
    <t>紀ノ川大橋</t>
  </si>
  <si>
    <t>橋本川</t>
  </si>
  <si>
    <t>橋本</t>
  </si>
  <si>
    <t>桂谷川</t>
  </si>
  <si>
    <t>河口</t>
  </si>
  <si>
    <t>...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</si>
  <si>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</si>
  <si>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</si>
  <si>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</si>
  <si>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</si>
  <si>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</si>
  <si>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</si>
  <si>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</si>
  <si>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</si>
  <si>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</si>
  <si>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</si>
  <si>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</si>
  <si>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</si>
  <si>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</si>
  <si>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</si>
  <si>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</si>
  <si>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</si>
  <si>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左会津川 高雄大橋</t>
  </si>
  <si>
    <t xml:space="preserve">  秋津橋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</si>
  <si>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</si>
  <si>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</si>
  <si>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</si>
  <si>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</si>
  <si>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</si>
  <si>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</si>
  <si>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</si>
  <si>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</si>
  <si>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＜1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</si>
  <si>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</si>
  <si>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</si>
  <si>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</si>
  <si>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</si>
  <si>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</si>
  <si>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</si>
  <si>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</si>
  <si>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新宮川</t>
  </si>
  <si>
    <t>宮井橋</t>
  </si>
  <si>
    <t>熊野大橋</t>
  </si>
  <si>
    <t>Ｔ-22 大気汚染，騒音振動，水質汚濁等の苦情件数</t>
  </si>
  <si>
    <t>Ａ．苦情件数の推移</t>
  </si>
  <si>
    <t xml:space="preserve">  単位：件</t>
    <phoneticPr fontId="4"/>
  </si>
  <si>
    <t>　注）</t>
  </si>
  <si>
    <t xml:space="preserve">  総 数</t>
  </si>
  <si>
    <t xml:space="preserve"> 典型７</t>
  </si>
  <si>
    <t xml:space="preserve">  大気</t>
  </si>
  <si>
    <t xml:space="preserve"> 水質</t>
  </si>
  <si>
    <t xml:space="preserve">   土壌</t>
  </si>
  <si>
    <t xml:space="preserve">  地盤</t>
  </si>
  <si>
    <t xml:space="preserve"> 公害計</t>
  </si>
  <si>
    <t xml:space="preserve">  汚染</t>
  </si>
  <si>
    <t xml:space="preserve"> 汚濁</t>
  </si>
  <si>
    <t xml:space="preserve">   汚染</t>
  </si>
  <si>
    <t>　騒音</t>
  </si>
  <si>
    <t>　振動</t>
  </si>
  <si>
    <t xml:space="preserve">  沈下</t>
  </si>
  <si>
    <t xml:space="preserve"> 悪臭</t>
  </si>
  <si>
    <t xml:space="preserve"> の公害</t>
  </si>
  <si>
    <t xml:space="preserve">  昭和50年度 1975</t>
  </si>
  <si>
    <t>　　  55　   1980</t>
  </si>
  <si>
    <t>－</t>
    <phoneticPr fontId="4"/>
  </si>
  <si>
    <t>　　  60　   1985</t>
  </si>
  <si>
    <t xml:space="preserve">  平成 2     1990</t>
  </si>
  <si>
    <t>　　   6　   1994</t>
  </si>
  <si>
    <t>　　   7　   1995</t>
  </si>
  <si>
    <t>　　   8　   1996</t>
  </si>
  <si>
    <t>　　   9　   1997</t>
  </si>
  <si>
    <t>　　  10　  1998</t>
    <phoneticPr fontId="4"/>
  </si>
  <si>
    <t xml:space="preserve">     注）県及び市町村が受け付けた公害苦情件数。</t>
  </si>
  <si>
    <t>Ｂ．市町村別苦情件数</t>
  </si>
  <si>
    <t xml:space="preserve">         単位：件</t>
    <phoneticPr fontId="4"/>
  </si>
  <si>
    <t xml:space="preserve">   典型７公害</t>
  </si>
  <si>
    <t xml:space="preserve">  合計</t>
  </si>
  <si>
    <t xml:space="preserve"> 大気汚染</t>
  </si>
  <si>
    <t xml:space="preserve"> 水質汚濁</t>
  </si>
  <si>
    <t>土壌汚染</t>
  </si>
  <si>
    <t>地盤沈下</t>
  </si>
  <si>
    <t xml:space="preserve">  悪臭</t>
  </si>
  <si>
    <t>平成10年度 1998</t>
  </si>
  <si>
    <t xml:space="preserve"> 県受理分</t>
  </si>
  <si>
    <t xml:space="preserve">    注）県及び市町村が受け付けた公害苦情件数。</t>
  </si>
  <si>
    <t>Ｔ-01 医療施設数及び病床数の推移</t>
  </si>
  <si>
    <t xml:space="preserve">  （10月 1日現在）</t>
  </si>
  <si>
    <t>医療施設数</t>
  </si>
  <si>
    <t>病院病床数</t>
  </si>
  <si>
    <t xml:space="preserve"> 一般診療</t>
  </si>
  <si>
    <t xml:space="preserve"> 一般</t>
  </si>
  <si>
    <t xml:space="preserve"> 歯科</t>
  </si>
  <si>
    <t xml:space="preserve"> 所病床数</t>
  </si>
  <si>
    <t xml:space="preserve"> 病 院</t>
  </si>
  <si>
    <t xml:space="preserve"> 総 数</t>
  </si>
  <si>
    <t xml:space="preserve"> 精神病床</t>
  </si>
  <si>
    <t xml:space="preserve"> 結核病床</t>
  </si>
  <si>
    <t xml:space="preserve"> 伝染病床</t>
  </si>
  <si>
    <t xml:space="preserve"> 一般病床</t>
  </si>
  <si>
    <t>床</t>
  </si>
  <si>
    <t>昭和30年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</si>
  <si>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</si>
  <si>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</si>
  <si>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</si>
  <si>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</si>
  <si>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62   1987</t>
  </si>
  <si>
    <t>平成元   1989</t>
  </si>
  <si>
    <t xml:space="preserve">     2   1990</t>
  </si>
  <si>
    <t xml:space="preserve">     3   1991</t>
  </si>
  <si>
    <t xml:space="preserve">     8   1996</t>
  </si>
  <si>
    <t xml:space="preserve">    9   1997</t>
    <phoneticPr fontId="4"/>
  </si>
  <si>
    <t>資料：厚生省大臣官房統計情報部「医療施設調査，病院報告」</t>
  </si>
  <si>
    <t>Ｔ-02 県内病院における在院及び外来患者数</t>
  </si>
  <si>
    <t>注１）</t>
  </si>
  <si>
    <t xml:space="preserve"> 注２）</t>
  </si>
  <si>
    <t>注３）</t>
  </si>
  <si>
    <t>平均在院患者数</t>
  </si>
  <si>
    <t xml:space="preserve"> １日平均</t>
  </si>
  <si>
    <t>平均在院日数</t>
  </si>
  <si>
    <t xml:space="preserve"> 精神病院</t>
  </si>
  <si>
    <t xml:space="preserve"> 伝染病院</t>
  </si>
  <si>
    <t xml:space="preserve"> 結核病院</t>
  </si>
  <si>
    <t>一般病院</t>
  </si>
  <si>
    <t xml:space="preserve"> 外来患者</t>
  </si>
  <si>
    <t xml:space="preserve"> 一般病院</t>
  </si>
  <si>
    <t>日</t>
  </si>
  <si>
    <t>注1)平均在院患者数＝年間在院患者延べ数／年間日数</t>
  </si>
  <si>
    <t>注2)１日平均外来患者数＝年間外来患者延数／(年間日数－日曜･祝日,年末年始の6日)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</si>
  <si>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</si>
  <si>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</si>
  <si>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</si>
  <si>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医療施設数</t>
  </si>
  <si>
    <t xml:space="preserve">      病床数</t>
  </si>
  <si>
    <t xml:space="preserve">  病院</t>
  </si>
  <si>
    <t>うち有床</t>
  </si>
  <si>
    <t>　総数</t>
  </si>
  <si>
    <t>精神</t>
  </si>
  <si>
    <t>結核</t>
  </si>
  <si>
    <t>伝染</t>
  </si>
  <si>
    <t>一般</t>
  </si>
  <si>
    <t>平成 8年1996</t>
  </si>
  <si>
    <t>Ｔ-04 特定死因別死亡者数</t>
  </si>
  <si>
    <t>Ａ．主要死因別死亡者数の推移</t>
  </si>
  <si>
    <t xml:space="preserve">         単位：人</t>
    <phoneticPr fontId="4"/>
  </si>
  <si>
    <t xml:space="preserve"> 全死因</t>
  </si>
  <si>
    <t xml:space="preserve"> 結核</t>
  </si>
  <si>
    <t>悪性</t>
  </si>
  <si>
    <t xml:space="preserve"> ＃肝及び</t>
  </si>
  <si>
    <t>＃気管</t>
  </si>
  <si>
    <t xml:space="preserve"> 糖尿病</t>
  </si>
  <si>
    <t xml:space="preserve"> 新生物</t>
  </si>
  <si>
    <t>＃胃</t>
  </si>
  <si>
    <t>＃結腸</t>
  </si>
  <si>
    <t xml:space="preserve"> 肝内胆管</t>
  </si>
  <si>
    <t>＃膵</t>
  </si>
  <si>
    <t>(支),肺</t>
  </si>
  <si>
    <t>＃子宮</t>
  </si>
  <si>
    <t>昭和40年1965</t>
  </si>
  <si>
    <t xml:space="preserve">    45  1970</t>
  </si>
  <si>
    <t xml:space="preserve">    50  1975</t>
  </si>
  <si>
    <t xml:space="preserve">    55  1980</t>
  </si>
  <si>
    <t xml:space="preserve">    60  1985</t>
  </si>
  <si>
    <t>平成 2  1990</t>
  </si>
  <si>
    <t xml:space="preserve">     3  1991</t>
  </si>
  <si>
    <t xml:space="preserve">     4  1992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</si>
  <si>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</si>
  <si>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</si>
  <si>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</si>
  <si>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</si>
  <si>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9  1997</t>
    <phoneticPr fontId="4"/>
  </si>
  <si>
    <t xml:space="preserve"> 高血圧性</t>
  </si>
  <si>
    <t>＃急性</t>
  </si>
  <si>
    <t>＃他ﾉ虚血</t>
  </si>
  <si>
    <t xml:space="preserve"> 脳血管</t>
  </si>
  <si>
    <t xml:space="preserve"> ＃くも</t>
  </si>
  <si>
    <t xml:space="preserve"> ＃脳内</t>
  </si>
  <si>
    <t>大動脈瘤</t>
  </si>
  <si>
    <t>疾患</t>
  </si>
  <si>
    <t xml:space="preserve"> 心疾患</t>
  </si>
  <si>
    <t xml:space="preserve"> 心筋梗塞</t>
  </si>
  <si>
    <t xml:space="preserve"> 性心疾患</t>
  </si>
  <si>
    <t xml:space="preserve"> ＃心不全</t>
  </si>
  <si>
    <t>膜下出血</t>
  </si>
  <si>
    <t>出血</t>
  </si>
  <si>
    <t>＃脳梗塞</t>
  </si>
  <si>
    <t>及び解離</t>
  </si>
  <si>
    <t>肺炎</t>
  </si>
  <si>
    <t xml:space="preserve"> 慢性閉塞</t>
  </si>
  <si>
    <t>喘息</t>
  </si>
  <si>
    <t xml:space="preserve"> 肝疾患</t>
  </si>
  <si>
    <t xml:space="preserve"> 腎不全</t>
  </si>
  <si>
    <t xml:space="preserve"> 老衰</t>
  </si>
  <si>
    <t xml:space="preserve"> 不慮の</t>
  </si>
  <si>
    <t xml:space="preserve"> ＃交通</t>
  </si>
  <si>
    <t xml:space="preserve"> 自殺</t>
  </si>
  <si>
    <t xml:space="preserve"> 性肺疾患</t>
  </si>
  <si>
    <t>事故</t>
  </si>
  <si>
    <t>の死因</t>
  </si>
  <si>
    <t>資料：厚生省大臣官房統計情報部「人口動態統計」</t>
  </si>
  <si>
    <t>Ｂ．市町村別特定死因別死亡者数</t>
  </si>
  <si>
    <t>高血圧</t>
  </si>
  <si>
    <t xml:space="preserve">   市 町 村</t>
  </si>
  <si>
    <t>全死因</t>
  </si>
  <si>
    <t>＃肝等(注</t>
  </si>
  <si>
    <t>＃気管,肺</t>
  </si>
  <si>
    <t>性疾患</t>
  </si>
  <si>
    <t>平成 9年 1997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</si>
  <si>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</si>
  <si>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</si>
  <si>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</si>
  <si>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</si>
  <si>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</si>
  <si>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</si>
  <si>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</si>
  <si>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</si>
  <si>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</si>
  <si>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</si>
  <si>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</si>
  <si>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</si>
  <si>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</si>
  <si>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</si>
  <si>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</si>
  <si>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</si>
  <si>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</si>
  <si>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</si>
  <si>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</si>
  <si>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</si>
  <si>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</si>
  <si>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</si>
  <si>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</si>
  <si>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</si>
  <si>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</si>
  <si>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</si>
  <si>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</si>
  <si>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</si>
  <si>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</si>
  <si>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</si>
  <si>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</si>
  <si>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</si>
  <si>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</si>
  <si>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</si>
  <si>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</si>
  <si>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</si>
  <si>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</si>
  <si>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</si>
  <si>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</si>
  <si>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</si>
  <si>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</si>
  <si>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</si>
  <si>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</si>
  <si>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</si>
  <si>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</si>
  <si>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</si>
  <si>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</si>
  <si>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</si>
  <si>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</si>
  <si>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</si>
  <si>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資料：県医務課「人口動態統計」</t>
  </si>
  <si>
    <t>注）肝等は，肝及び肝内胆管</t>
  </si>
  <si>
    <t>Ｂ．市町村別特定死因別死亡者数－続き－</t>
  </si>
  <si>
    <t>Ｔ-05 伝染病及び食中毒患者数</t>
  </si>
  <si>
    <t>本表は患者届出地により表章されている。</t>
  </si>
  <si>
    <t>結核は昭和60年から伝染病統計から除かれた。</t>
  </si>
  <si>
    <t>「法定・指定伝染病」のうち，とうそう，発疹チフス，ジフテリア，流行性脳</t>
  </si>
  <si>
    <t>脊髄膜炎，ペスト，急性灰白髄炎（指定伝染病），ラッサ熱（指定伝染病）の</t>
  </si>
  <si>
    <t>発生はなかった。</t>
  </si>
  <si>
    <t>「届出伝染病」のうち，伝染性下痢症，狂犬病，炭そ，フィラリア病，黄熱，</t>
  </si>
  <si>
    <t>回帰熱の発生はなかった。</t>
  </si>
  <si>
    <t xml:space="preserve">  　　　　　法定・指定伝染病</t>
  </si>
  <si>
    <t>コレラ</t>
  </si>
  <si>
    <t>赤痢</t>
  </si>
  <si>
    <t xml:space="preserve"> 腸チフス</t>
  </si>
  <si>
    <t xml:space="preserve"> パラチフス</t>
  </si>
  <si>
    <t xml:space="preserve"> しょう紅熱</t>
  </si>
  <si>
    <t>日本脳炎</t>
  </si>
  <si>
    <t>昭和55年 1980</t>
  </si>
  <si>
    <t xml:space="preserve">    58   1983</t>
  </si>
  <si>
    <t xml:space="preserve">     届出伝染病</t>
  </si>
  <si>
    <t xml:space="preserve">  ｲﾝﾌﾙｴﾝｻﾞ</t>
  </si>
  <si>
    <t>ましん</t>
  </si>
  <si>
    <t>百日咳</t>
  </si>
  <si>
    <t xml:space="preserve"> マラリア</t>
  </si>
  <si>
    <t>破傷風</t>
  </si>
  <si>
    <t>つつが虫病</t>
  </si>
  <si>
    <t>性病</t>
  </si>
  <si>
    <t>食中毒</t>
  </si>
  <si>
    <t xml:space="preserve"> 資料：県医務課「保健統計年報」</t>
  </si>
  <si>
    <t>Ｔ-06 医師，歯科医師数</t>
  </si>
  <si>
    <t>Ａ．医  師</t>
  </si>
  <si>
    <t>（従業地による）</t>
  </si>
  <si>
    <t xml:space="preserve"> 医療施設･</t>
  </si>
  <si>
    <t xml:space="preserve"> 医師総数</t>
  </si>
  <si>
    <t xml:space="preserve"> 医療施設</t>
  </si>
  <si>
    <t>病院，</t>
  </si>
  <si>
    <t>医育機関</t>
  </si>
  <si>
    <t>老人保健施</t>
  </si>
  <si>
    <t xml:space="preserve"> の従事者</t>
  </si>
  <si>
    <t>診療所の</t>
  </si>
  <si>
    <t>付属病院</t>
  </si>
  <si>
    <t>設の従事者</t>
  </si>
  <si>
    <t xml:space="preserve"> 設の以外の</t>
  </si>
  <si>
    <t>(含む無職)</t>
  </si>
  <si>
    <t xml:space="preserve"> の開設者</t>
  </si>
  <si>
    <t xml:space="preserve"> の勤務者</t>
  </si>
  <si>
    <t>の従事者</t>
  </si>
  <si>
    <t>12月末</t>
  </si>
  <si>
    <t xml:space="preserve"> 　 └──┬──┘</t>
    <phoneticPr fontId="4"/>
  </si>
  <si>
    <t>昭和45年 1970</t>
  </si>
  <si>
    <t xml:space="preserve">         574</t>
  </si>
  <si>
    <t xml:space="preserve">         644</t>
  </si>
  <si>
    <t xml:space="preserve">         781</t>
  </si>
  <si>
    <t xml:space="preserve">         962</t>
  </si>
  <si>
    <t xml:space="preserve">       1,052</t>
  </si>
  <si>
    <t xml:space="preserve">       1,158</t>
  </si>
  <si>
    <t xml:space="preserve">       1,281</t>
  </si>
  <si>
    <t xml:space="preserve">       1,410</t>
  </si>
  <si>
    <t xml:space="preserve">     960</t>
  </si>
  <si>
    <t xml:space="preserve">      332</t>
  </si>
  <si>
    <t xml:space="preserve"> 資料：厚生省大臣官房統計情報部「医師・歯科医師・薬剤師調査」</t>
  </si>
  <si>
    <t>Ｂ.歯科医師</t>
  </si>
  <si>
    <t xml:space="preserve"> 歯科医師</t>
  </si>
  <si>
    <t xml:space="preserve"> 総数</t>
  </si>
  <si>
    <t xml:space="preserve"> 　 └──┬──┘</t>
    <phoneticPr fontId="4"/>
  </si>
  <si>
    <t xml:space="preserve">          50</t>
  </si>
  <si>
    <t>－</t>
    <phoneticPr fontId="4"/>
  </si>
  <si>
    <t xml:space="preserve">          70</t>
  </si>
  <si>
    <t xml:space="preserve">         105</t>
  </si>
  <si>
    <t xml:space="preserve">         113</t>
  </si>
  <si>
    <t xml:space="preserve">         116</t>
  </si>
  <si>
    <t xml:space="preserve">         110</t>
  </si>
  <si>
    <t xml:space="preserve">         114</t>
  </si>
  <si>
    <t xml:space="preserve">    8   1996</t>
    <phoneticPr fontId="4"/>
  </si>
  <si>
    <t>Ｔ-07 薬剤師数</t>
  </si>
  <si>
    <t xml:space="preserve">   薬剤師</t>
  </si>
  <si>
    <t xml:space="preserve">      医療施設の従事者</t>
  </si>
  <si>
    <t>衛生行政機</t>
  </si>
  <si>
    <t xml:space="preserve"> 医薬品の </t>
  </si>
  <si>
    <t>　　総数</t>
  </si>
  <si>
    <t xml:space="preserve"> 病院,診療</t>
  </si>
  <si>
    <t>大学勤務者</t>
  </si>
  <si>
    <t>関, 保健衛</t>
  </si>
  <si>
    <t xml:space="preserve"> 製造,販売 </t>
  </si>
  <si>
    <t>薬局開設者</t>
  </si>
  <si>
    <t>薬局勤務者</t>
  </si>
  <si>
    <t>所調剤検査</t>
  </si>
  <si>
    <t>大学院生</t>
  </si>
  <si>
    <t>生施設従事 者</t>
  </si>
  <si>
    <t xml:space="preserve"> 企業従事者</t>
  </si>
  <si>
    <t xml:space="preserve">         62</t>
  </si>
  <si>
    <t xml:space="preserve">         67</t>
  </si>
  <si>
    <t xml:space="preserve">         56</t>
  </si>
  <si>
    <t xml:space="preserve">         63</t>
  </si>
  <si>
    <t xml:space="preserve">         64</t>
  </si>
  <si>
    <t xml:space="preserve">         57</t>
  </si>
  <si>
    <t>Ｔ-08 市町村別医師数，歯科医師数</t>
  </si>
  <si>
    <t xml:space="preserve">      （12月31日現在）</t>
  </si>
  <si>
    <t>歯科医師</t>
  </si>
  <si>
    <t>＃うち医療</t>
  </si>
  <si>
    <t xml:space="preserve"> 病院開設</t>
  </si>
  <si>
    <t>診療所開設</t>
  </si>
  <si>
    <t xml:space="preserve"> 病院勤務</t>
  </si>
  <si>
    <t>診療所勤務</t>
  </si>
  <si>
    <t xml:space="preserve"> 医育機関</t>
  </si>
  <si>
    <t>施設従事者</t>
  </si>
  <si>
    <t>Ｔ-09 保健所，就業場別看護婦(士)・准看護婦(士)数</t>
  </si>
  <si>
    <t xml:space="preserve">        総  数</t>
  </si>
  <si>
    <t xml:space="preserve">        病  院</t>
  </si>
  <si>
    <t xml:space="preserve">       診療所</t>
  </si>
  <si>
    <t xml:space="preserve">   その他の従業場</t>
  </si>
  <si>
    <t>(士)</t>
  </si>
  <si>
    <t xml:space="preserve">      (士)</t>
  </si>
  <si>
    <t xml:space="preserve"> 看護婦</t>
  </si>
  <si>
    <t xml:space="preserve"> 准看護婦</t>
  </si>
  <si>
    <t>准看護婦</t>
  </si>
  <si>
    <t>看護婦</t>
  </si>
  <si>
    <t xml:space="preserve">    8   1996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</si>
</sst>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-#,##0.0"/>
    <numFmt numFmtId="177" formatCode="#,##0.000;\-#,##0.000"/>
    <numFmt numFmtId="178" formatCode="0.000"/>
    <numFmt numFmtId="179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03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Font="1" applyBorder="1"/>
    <xf numFmtId="37" fontId="3" fillId="0" borderId="0" xfId="1" applyFont="1" applyAlignment="1" applyProtection="1">
      <alignment horizontal="left"/>
    </xf>
    <xf numFmtId="37" fontId="1" fillId="0" borderId="0" xfId="1" applyFont="1" applyProtection="1">
      <protection locked="0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/>
    <xf numFmtId="37" fontId="1" fillId="0" borderId="3" xfId="1" applyFont="1" applyBorder="1" applyProtection="1">
      <protection locked="0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3" fillId="0" borderId="0" xfId="1" applyFont="1" applyAlignment="1" applyProtection="1">
      <alignment horizontal="right"/>
    </xf>
    <xf numFmtId="37" fontId="1" fillId="0" borderId="5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0" xfId="1" applyFont="1" applyBorder="1" applyProtection="1"/>
    <xf numFmtId="37" fontId="3" fillId="0" borderId="0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left"/>
    </xf>
    <xf numFmtId="37" fontId="1" fillId="0" borderId="0" xfId="1" applyFont="1" applyProtection="1"/>
    <xf numFmtId="37" fontId="1" fillId="0" borderId="0" xfId="1" applyFont="1" applyAlignment="1" applyProtection="1">
      <alignment horizontal="right"/>
    </xf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left"/>
      <protection locked="0"/>
    </xf>
    <xf numFmtId="176" fontId="1" fillId="0" borderId="2" xfId="1" applyNumberFormat="1" applyFont="1" applyBorder="1" applyProtection="1"/>
    <xf numFmtId="37" fontId="1" fillId="0" borderId="0" xfId="1" applyFont="1" applyAlignment="1" applyProtection="1">
      <alignment horizontal="center"/>
    </xf>
    <xf numFmtId="176" fontId="3" fillId="0" borderId="2" xfId="1" applyNumberFormat="1" applyFont="1" applyBorder="1" applyProtection="1"/>
    <xf numFmtId="37" fontId="3" fillId="0" borderId="1" xfId="1" applyFont="1" applyBorder="1" applyProtection="1"/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178" fontId="1" fillId="0" borderId="0" xfId="1" applyNumberFormat="1" applyFont="1" applyProtection="1">
      <protection locked="0"/>
    </xf>
    <xf numFmtId="177" fontId="1" fillId="0" borderId="5" xfId="1" applyNumberFormat="1" applyFont="1" applyBorder="1" applyProtection="1">
      <protection locked="0"/>
    </xf>
    <xf numFmtId="177" fontId="1" fillId="0" borderId="1" xfId="1" applyNumberFormat="1" applyFont="1" applyBorder="1" applyProtection="1">
      <protection locked="0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2" fontId="1" fillId="0" borderId="0" xfId="1" applyNumberFormat="1" applyFont="1" applyProtection="1">
      <protection locked="0"/>
    </xf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2" xfId="2" applyFont="1" applyBorder="1"/>
    <xf numFmtId="176" fontId="1" fillId="0" borderId="4" xfId="2" applyFont="1" applyBorder="1"/>
    <xf numFmtId="176" fontId="1" fillId="0" borderId="3" xfId="2" applyFont="1" applyBorder="1" applyAlignment="1" applyProtection="1">
      <alignment horizontal="left"/>
    </xf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2" xfId="2" applyFont="1" applyBorder="1" applyProtection="1">
      <protection locked="0"/>
    </xf>
    <xf numFmtId="176" fontId="1" fillId="0" borderId="0" xfId="2" applyFont="1" applyProtection="1">
      <protection locked="0"/>
    </xf>
    <xf numFmtId="37" fontId="1" fillId="0" borderId="0" xfId="2" applyNumberFormat="1" applyFont="1" applyProtection="1">
      <protection locked="0"/>
    </xf>
    <xf numFmtId="37" fontId="1" fillId="0" borderId="0" xfId="2" applyNumberFormat="1" applyFont="1" applyAlignment="1" applyProtection="1">
      <alignment horizontal="right"/>
      <protection locked="0"/>
    </xf>
    <xf numFmtId="37" fontId="1" fillId="0" borderId="0" xfId="2" applyNumberFormat="1" applyFont="1" applyProtection="1"/>
    <xf numFmtId="176" fontId="1" fillId="0" borderId="5" xfId="2" applyFont="1" applyBorder="1"/>
    <xf numFmtId="37" fontId="1" fillId="0" borderId="1" xfId="2" applyNumberFormat="1" applyFont="1" applyBorder="1" applyProtection="1"/>
    <xf numFmtId="176" fontId="1" fillId="0" borderId="1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center"/>
    </xf>
    <xf numFmtId="176" fontId="1" fillId="0" borderId="4" xfId="2" applyFont="1" applyBorder="1" applyAlignment="1" applyProtection="1">
      <alignment horizontal="center"/>
    </xf>
    <xf numFmtId="37" fontId="1" fillId="0" borderId="2" xfId="2" applyNumberFormat="1" applyFont="1" applyBorder="1" applyProtection="1"/>
    <xf numFmtId="176" fontId="3" fillId="0" borderId="0" xfId="2" applyFont="1" applyProtection="1"/>
    <xf numFmtId="37" fontId="3" fillId="0" borderId="2" xfId="2" applyNumberFormat="1" applyFont="1" applyBorder="1" applyProtection="1"/>
    <xf numFmtId="37" fontId="3" fillId="0" borderId="0" xfId="2" applyNumberFormat="1" applyFont="1" applyProtection="1"/>
    <xf numFmtId="37" fontId="3" fillId="0" borderId="0" xfId="2" applyNumberFormat="1" applyFont="1" applyProtection="1">
      <protection locked="0"/>
    </xf>
    <xf numFmtId="37" fontId="3" fillId="0" borderId="0" xfId="2" applyNumberFormat="1" applyFont="1" applyAlignment="1" applyProtection="1">
      <alignment horizontal="right"/>
      <protection locked="0"/>
    </xf>
    <xf numFmtId="37" fontId="1" fillId="0" borderId="5" xfId="2" applyNumberFormat="1" applyFont="1" applyBorder="1" applyProtection="1"/>
    <xf numFmtId="37" fontId="1" fillId="0" borderId="0" xfId="1" applyFont="1" applyBorder="1" applyAlignment="1" applyProtection="1">
      <alignment horizontal="right"/>
    </xf>
    <xf numFmtId="37" fontId="1" fillId="0" borderId="5" xfId="1" applyNumberFormat="1" applyFont="1" applyBorder="1" applyProtection="1"/>
    <xf numFmtId="37" fontId="1" fillId="0" borderId="1" xfId="1" applyNumberFormat="1" applyFont="1" applyBorder="1" applyProtection="1"/>
    <xf numFmtId="37" fontId="1" fillId="0" borderId="2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9" fontId="1" fillId="0" borderId="0" xfId="1" applyNumberFormat="1" applyFont="1" applyProtection="1">
      <protection locked="0"/>
    </xf>
    <xf numFmtId="37" fontId="3" fillId="0" borderId="2" xfId="1" applyNumberFormat="1" applyFont="1" applyBorder="1" applyProtection="1"/>
    <xf numFmtId="176" fontId="3" fillId="0" borderId="0" xfId="1" applyNumberFormat="1" applyFont="1" applyProtection="1">
      <protection locked="0"/>
    </xf>
    <xf numFmtId="37" fontId="3" fillId="0" borderId="3" xfId="1" applyFont="1" applyBorder="1" applyProtection="1"/>
    <xf numFmtId="37" fontId="1" fillId="0" borderId="0" xfId="1" applyFont="1" applyAlignment="1" applyProtection="1">
      <alignment horizontal="left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/>
  <dimension ref="A1:K37"/>
  <sheetViews>
    <sheetView showGridLines="0" topLeftCell="A2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4" t="s">
        <v>566</v>
      </c>
    </row>
    <row r="7" spans="1:11" ht="18" thickBot="1" x14ac:dyDescent="0.25">
      <c r="B7" s="6"/>
      <c r="C7" s="6"/>
      <c r="D7" s="6"/>
      <c r="E7" s="6"/>
      <c r="F7" s="7" t="s">
        <v>567</v>
      </c>
      <c r="G7" s="6"/>
      <c r="H7" s="6"/>
      <c r="I7" s="6"/>
      <c r="J7" s="6"/>
      <c r="K7" s="6"/>
    </row>
    <row r="8" spans="1:11" x14ac:dyDescent="0.2">
      <c r="C8" s="10"/>
      <c r="F8" s="10"/>
      <c r="K8" s="10"/>
    </row>
    <row r="9" spans="1:11" x14ac:dyDescent="0.2">
      <c r="C9" s="14"/>
      <c r="D9" s="31" t="s">
        <v>568</v>
      </c>
      <c r="E9" s="12"/>
      <c r="F9" s="10"/>
      <c r="G9" s="12"/>
      <c r="H9" s="31" t="s">
        <v>569</v>
      </c>
      <c r="I9" s="12"/>
      <c r="J9" s="12"/>
      <c r="K9" s="13" t="s">
        <v>570</v>
      </c>
    </row>
    <row r="10" spans="1:11" x14ac:dyDescent="0.2">
      <c r="C10" s="10"/>
      <c r="D10" s="13" t="s">
        <v>571</v>
      </c>
      <c r="E10" s="13" t="s">
        <v>572</v>
      </c>
      <c r="F10" s="10"/>
      <c r="G10" s="10"/>
      <c r="H10" s="10"/>
      <c r="I10" s="10"/>
      <c r="J10" s="10"/>
      <c r="K10" s="13" t="s">
        <v>573</v>
      </c>
    </row>
    <row r="11" spans="1:11" x14ac:dyDescent="0.2">
      <c r="B11" s="12"/>
      <c r="C11" s="17" t="s">
        <v>574</v>
      </c>
      <c r="D11" s="29" t="s">
        <v>11</v>
      </c>
      <c r="E11" s="29" t="s">
        <v>11</v>
      </c>
      <c r="F11" s="17" t="s">
        <v>575</v>
      </c>
      <c r="G11" s="29" t="s">
        <v>576</v>
      </c>
      <c r="H11" s="29" t="s">
        <v>577</v>
      </c>
      <c r="I11" s="29" t="s">
        <v>578</v>
      </c>
      <c r="J11" s="29" t="s">
        <v>579</v>
      </c>
      <c r="K11" s="14"/>
    </row>
    <row r="12" spans="1:11" x14ac:dyDescent="0.2">
      <c r="C12" s="10"/>
      <c r="F12" s="44" t="s">
        <v>580</v>
      </c>
      <c r="G12" s="44" t="s">
        <v>580</v>
      </c>
      <c r="H12" s="44" t="s">
        <v>580</v>
      </c>
      <c r="I12" s="44" t="s">
        <v>580</v>
      </c>
      <c r="J12" s="44" t="s">
        <v>580</v>
      </c>
      <c r="K12" s="44" t="s">
        <v>580</v>
      </c>
    </row>
    <row r="13" spans="1:11" x14ac:dyDescent="0.2">
      <c r="B13" s="1" t="s">
        <v>581</v>
      </c>
      <c r="C13" s="28">
        <v>35</v>
      </c>
      <c r="D13" s="5">
        <v>649</v>
      </c>
      <c r="E13" s="5">
        <v>291</v>
      </c>
      <c r="F13" s="43">
        <f>G13+H13+I13+J13</f>
        <v>4966</v>
      </c>
      <c r="G13" s="5">
        <v>334</v>
      </c>
      <c r="H13" s="5">
        <v>2434</v>
      </c>
      <c r="I13" s="5">
        <v>308</v>
      </c>
      <c r="J13" s="5">
        <v>1890</v>
      </c>
      <c r="K13" s="5">
        <v>1162</v>
      </c>
    </row>
    <row r="14" spans="1:11" x14ac:dyDescent="0.2">
      <c r="B14" s="1" t="s">
        <v>582</v>
      </c>
      <c r="C14" s="28">
        <v>40</v>
      </c>
      <c r="D14" s="5">
        <v>666</v>
      </c>
      <c r="E14" s="5">
        <v>297</v>
      </c>
      <c r="F14" s="43">
        <f>G14+H14+I14+J14</f>
        <v>7112</v>
      </c>
      <c r="G14" s="5">
        <v>1051</v>
      </c>
      <c r="H14" s="5">
        <v>2897</v>
      </c>
      <c r="I14" s="5">
        <v>396</v>
      </c>
      <c r="J14" s="5">
        <v>2768</v>
      </c>
      <c r="K14" s="5">
        <v>1598</v>
      </c>
    </row>
    <row r="15" spans="1:11" x14ac:dyDescent="0.2">
      <c r="B15" s="1" t="s">
        <v>583</v>
      </c>
      <c r="C15" s="28">
        <v>53</v>
      </c>
      <c r="D15" s="5">
        <v>730</v>
      </c>
      <c r="E15" s="5">
        <v>313</v>
      </c>
      <c r="F15" s="43">
        <f>G15+H15+I15+J15</f>
        <v>9542</v>
      </c>
      <c r="G15" s="5">
        <v>2359</v>
      </c>
      <c r="H15" s="5">
        <v>2465</v>
      </c>
      <c r="I15" s="5">
        <v>457</v>
      </c>
      <c r="J15" s="5">
        <v>4261</v>
      </c>
      <c r="K15" s="5">
        <v>1898</v>
      </c>
    </row>
    <row r="16" spans="1:11" x14ac:dyDescent="0.2">
      <c r="B16" s="1" t="s">
        <v>584</v>
      </c>
      <c r="C16" s="28">
        <v>64</v>
      </c>
      <c r="D16" s="5">
        <v>730</v>
      </c>
      <c r="E16" s="5">
        <v>319</v>
      </c>
      <c r="F16" s="43">
        <f>G16+H16+I16+J16</f>
        <v>11662</v>
      </c>
      <c r="G16" s="5">
        <v>2678</v>
      </c>
      <c r="H16" s="5">
        <v>2176</v>
      </c>
      <c r="I16" s="5">
        <v>452</v>
      </c>
      <c r="J16" s="5">
        <v>6356</v>
      </c>
      <c r="K16" s="5">
        <v>2215</v>
      </c>
    </row>
    <row r="17" spans="2:11" x14ac:dyDescent="0.2">
      <c r="C17" s="10"/>
    </row>
    <row r="18" spans="2:11" x14ac:dyDescent="0.2">
      <c r="B18" s="1" t="s">
        <v>585</v>
      </c>
      <c r="C18" s="28">
        <v>69</v>
      </c>
      <c r="D18" s="5">
        <v>761</v>
      </c>
      <c r="E18" s="5">
        <v>321</v>
      </c>
      <c r="F18" s="43">
        <f>G18+H18+I18+J18</f>
        <v>12445</v>
      </c>
      <c r="G18" s="5">
        <v>2938</v>
      </c>
      <c r="H18" s="5">
        <v>1853</v>
      </c>
      <c r="I18" s="5">
        <v>424</v>
      </c>
      <c r="J18" s="5">
        <v>7230</v>
      </c>
      <c r="K18" s="5">
        <v>2223</v>
      </c>
    </row>
    <row r="19" spans="2:11" x14ac:dyDescent="0.2">
      <c r="B19" s="1" t="s">
        <v>15</v>
      </c>
      <c r="C19" s="28">
        <v>81</v>
      </c>
      <c r="D19" s="5">
        <v>826</v>
      </c>
      <c r="E19" s="5">
        <v>402</v>
      </c>
      <c r="F19" s="43">
        <f>G19+H19+I19+J19</f>
        <v>13399</v>
      </c>
      <c r="G19" s="5">
        <v>3024</v>
      </c>
      <c r="H19" s="5">
        <v>1040</v>
      </c>
      <c r="I19" s="5">
        <v>358</v>
      </c>
      <c r="J19" s="5">
        <v>8977</v>
      </c>
      <c r="K19" s="5">
        <v>2679</v>
      </c>
    </row>
    <row r="20" spans="2:11" x14ac:dyDescent="0.2">
      <c r="B20" s="1" t="s">
        <v>160</v>
      </c>
      <c r="C20" s="28">
        <v>92</v>
      </c>
      <c r="D20" s="5">
        <v>850</v>
      </c>
      <c r="E20" s="5">
        <v>462</v>
      </c>
      <c r="F20" s="43">
        <f>G20+H20+I20+J20</f>
        <v>14700</v>
      </c>
      <c r="G20" s="5">
        <v>2997</v>
      </c>
      <c r="H20" s="5">
        <v>751</v>
      </c>
      <c r="I20" s="5">
        <v>302</v>
      </c>
      <c r="J20" s="5">
        <v>10650</v>
      </c>
      <c r="K20" s="5">
        <v>2684</v>
      </c>
    </row>
    <row r="21" spans="2:11" x14ac:dyDescent="0.2">
      <c r="B21" s="1" t="s">
        <v>21</v>
      </c>
      <c r="C21" s="28">
        <v>94</v>
      </c>
      <c r="D21" s="5">
        <v>863</v>
      </c>
      <c r="E21" s="5">
        <v>481</v>
      </c>
      <c r="F21" s="43">
        <f>G21+H21+I21+J21</f>
        <v>15040</v>
      </c>
      <c r="G21" s="5">
        <v>2999</v>
      </c>
      <c r="H21" s="5">
        <v>751</v>
      </c>
      <c r="I21" s="5">
        <v>302</v>
      </c>
      <c r="J21" s="5">
        <v>10988</v>
      </c>
      <c r="K21" s="5">
        <v>2644</v>
      </c>
    </row>
    <row r="22" spans="2:11" x14ac:dyDescent="0.2">
      <c r="C22" s="10"/>
    </row>
    <row r="23" spans="2:11" x14ac:dyDescent="0.2">
      <c r="B23" s="1" t="s">
        <v>586</v>
      </c>
      <c r="C23" s="28">
        <v>96</v>
      </c>
      <c r="D23" s="5">
        <v>875</v>
      </c>
      <c r="E23" s="5">
        <v>481</v>
      </c>
      <c r="F23" s="43">
        <f>G23+H23+I23+J23</f>
        <v>15305</v>
      </c>
      <c r="G23" s="5">
        <v>2999</v>
      </c>
      <c r="H23" s="5">
        <v>751</v>
      </c>
      <c r="I23" s="5">
        <f>302-18</f>
        <v>284</v>
      </c>
      <c r="J23" s="5">
        <v>11271</v>
      </c>
      <c r="K23" s="5">
        <v>2662</v>
      </c>
    </row>
    <row r="24" spans="2:11" x14ac:dyDescent="0.2">
      <c r="B24" s="1" t="s">
        <v>22</v>
      </c>
      <c r="C24" s="28">
        <v>98</v>
      </c>
      <c r="D24" s="5">
        <v>876</v>
      </c>
      <c r="E24" s="5">
        <v>492</v>
      </c>
      <c r="F24" s="43">
        <f>G24+H24+I24+J24</f>
        <v>15524</v>
      </c>
      <c r="G24" s="5">
        <v>2999</v>
      </c>
      <c r="H24" s="5">
        <v>751</v>
      </c>
      <c r="I24" s="5">
        <v>274</v>
      </c>
      <c r="J24" s="5">
        <v>11500</v>
      </c>
      <c r="K24" s="5">
        <v>2652</v>
      </c>
    </row>
    <row r="25" spans="2:11" x14ac:dyDescent="0.2">
      <c r="B25" s="1" t="s">
        <v>587</v>
      </c>
      <c r="C25" s="28">
        <v>100</v>
      </c>
      <c r="D25" s="5">
        <v>879</v>
      </c>
      <c r="E25" s="5">
        <v>505</v>
      </c>
      <c r="F25" s="43">
        <f>G25+H25+I25+J25</f>
        <v>15903</v>
      </c>
      <c r="G25" s="5">
        <v>2999</v>
      </c>
      <c r="H25" s="5">
        <v>751</v>
      </c>
      <c r="I25" s="5">
        <v>274</v>
      </c>
      <c r="J25" s="5">
        <v>11879</v>
      </c>
      <c r="K25" s="5">
        <v>2714</v>
      </c>
    </row>
    <row r="26" spans="2:11" x14ac:dyDescent="0.2">
      <c r="B26" s="1" t="s">
        <v>588</v>
      </c>
      <c r="C26" s="28">
        <v>98</v>
      </c>
      <c r="D26" s="5">
        <v>893</v>
      </c>
      <c r="E26" s="5">
        <v>498</v>
      </c>
      <c r="F26" s="43">
        <f>G26+H26+I26+J26</f>
        <v>15736</v>
      </c>
      <c r="G26" s="5">
        <v>2999</v>
      </c>
      <c r="H26" s="5">
        <v>556</v>
      </c>
      <c r="I26" s="5">
        <v>251</v>
      </c>
      <c r="J26" s="5">
        <v>11930</v>
      </c>
      <c r="K26" s="5">
        <v>2785</v>
      </c>
    </row>
    <row r="27" spans="2:11" x14ac:dyDescent="0.2">
      <c r="C27" s="10"/>
    </row>
    <row r="28" spans="2:11" x14ac:dyDescent="0.2">
      <c r="B28" s="1" t="s">
        <v>589</v>
      </c>
      <c r="C28" s="28">
        <v>98</v>
      </c>
      <c r="D28" s="5">
        <v>912</v>
      </c>
      <c r="E28" s="5">
        <v>511</v>
      </c>
      <c r="F28" s="43">
        <f>G28+H28+I28+J28</f>
        <v>15791</v>
      </c>
      <c r="G28" s="5">
        <v>2999</v>
      </c>
      <c r="H28" s="5">
        <v>556</v>
      </c>
      <c r="I28" s="5">
        <v>226</v>
      </c>
      <c r="J28" s="5">
        <v>12010</v>
      </c>
      <c r="K28" s="5">
        <v>2791</v>
      </c>
    </row>
    <row r="29" spans="2:11" x14ac:dyDescent="0.2">
      <c r="B29" s="1" t="s">
        <v>24</v>
      </c>
      <c r="C29" s="28">
        <v>98</v>
      </c>
      <c r="D29" s="5">
        <v>938</v>
      </c>
      <c r="E29" s="5">
        <v>525</v>
      </c>
      <c r="F29" s="43">
        <f>G29+H29+I29+J29</f>
        <v>15724</v>
      </c>
      <c r="G29" s="5">
        <v>3085</v>
      </c>
      <c r="H29" s="5">
        <v>544</v>
      </c>
      <c r="I29" s="5">
        <v>188</v>
      </c>
      <c r="J29" s="5">
        <v>11907</v>
      </c>
      <c r="K29" s="5">
        <v>2842</v>
      </c>
    </row>
    <row r="30" spans="2:11" x14ac:dyDescent="0.2">
      <c r="B30" s="1" t="s">
        <v>161</v>
      </c>
      <c r="C30" s="28">
        <v>97</v>
      </c>
      <c r="D30" s="5">
        <v>943</v>
      </c>
      <c r="E30" s="5">
        <v>525</v>
      </c>
      <c r="F30" s="43">
        <f>G30+H30+I30+J30</f>
        <v>15565</v>
      </c>
      <c r="G30" s="5">
        <v>2981</v>
      </c>
      <c r="H30" s="5">
        <v>469</v>
      </c>
      <c r="I30" s="5">
        <v>171</v>
      </c>
      <c r="J30" s="5">
        <v>11944</v>
      </c>
      <c r="K30" s="5">
        <v>2865</v>
      </c>
    </row>
    <row r="31" spans="2:11" x14ac:dyDescent="0.2">
      <c r="B31" s="1" t="s">
        <v>25</v>
      </c>
      <c r="C31" s="28">
        <v>96</v>
      </c>
      <c r="D31" s="5">
        <v>979</v>
      </c>
      <c r="E31" s="5">
        <v>530</v>
      </c>
      <c r="F31" s="43">
        <f>G31+H31+I31+J31</f>
        <v>15527</v>
      </c>
      <c r="G31" s="5">
        <v>2951</v>
      </c>
      <c r="H31" s="5">
        <v>469</v>
      </c>
      <c r="I31" s="5">
        <v>171</v>
      </c>
      <c r="J31" s="5">
        <v>11936</v>
      </c>
      <c r="K31" s="5">
        <v>2909</v>
      </c>
    </row>
    <row r="32" spans="2:11" x14ac:dyDescent="0.2">
      <c r="C32" s="10"/>
    </row>
    <row r="33" spans="2:11" x14ac:dyDescent="0.2">
      <c r="B33" s="1" t="s">
        <v>162</v>
      </c>
      <c r="C33" s="28">
        <v>96</v>
      </c>
      <c r="D33" s="5">
        <v>986</v>
      </c>
      <c r="E33" s="5">
        <v>543</v>
      </c>
      <c r="F33" s="43">
        <f>G33+H33+I33+J33</f>
        <v>15585</v>
      </c>
      <c r="G33" s="5">
        <v>2951</v>
      </c>
      <c r="H33" s="5">
        <v>469</v>
      </c>
      <c r="I33" s="5">
        <v>171</v>
      </c>
      <c r="J33" s="5">
        <v>11994</v>
      </c>
      <c r="K33" s="5">
        <v>2929</v>
      </c>
    </row>
    <row r="34" spans="2:11" x14ac:dyDescent="0.2">
      <c r="B34" s="1" t="s">
        <v>590</v>
      </c>
      <c r="C34" s="28">
        <v>95</v>
      </c>
      <c r="D34" s="5">
        <v>1007</v>
      </c>
      <c r="E34" s="5">
        <v>546</v>
      </c>
      <c r="F34" s="43">
        <f>G34+H34+I34+J34</f>
        <v>15395</v>
      </c>
      <c r="G34" s="5">
        <v>2930</v>
      </c>
      <c r="H34" s="5">
        <v>456</v>
      </c>
      <c r="I34" s="5">
        <v>171</v>
      </c>
      <c r="J34" s="5">
        <v>11838</v>
      </c>
      <c r="K34" s="5">
        <v>2866</v>
      </c>
    </row>
    <row r="35" spans="2:11" x14ac:dyDescent="0.2">
      <c r="B35" s="4" t="s">
        <v>591</v>
      </c>
      <c r="C35" s="30">
        <v>95</v>
      </c>
      <c r="D35" s="26">
        <v>1037</v>
      </c>
      <c r="E35" s="26">
        <v>551</v>
      </c>
      <c r="F35" s="21">
        <f>G35+H35+I35+J35</f>
        <v>15327</v>
      </c>
      <c r="G35" s="26">
        <v>2917</v>
      </c>
      <c r="H35" s="26">
        <v>410</v>
      </c>
      <c r="I35" s="26">
        <v>171</v>
      </c>
      <c r="J35" s="26">
        <v>11829</v>
      </c>
      <c r="K35" s="26">
        <v>2781</v>
      </c>
    </row>
    <row r="36" spans="2:11" ht="18" thickBot="1" x14ac:dyDescent="0.25">
      <c r="B36" s="6"/>
      <c r="C36" s="23"/>
      <c r="D36" s="6"/>
      <c r="E36" s="6"/>
      <c r="F36" s="6"/>
      <c r="G36" s="6"/>
      <c r="H36" s="6"/>
      <c r="I36" s="6"/>
      <c r="J36" s="6"/>
      <c r="K36" s="6"/>
    </row>
    <row r="37" spans="2:11" x14ac:dyDescent="0.2">
      <c r="C37" s="1" t="s">
        <v>592</v>
      </c>
    </row>
  </sheetData>
  <phoneticPr fontId="2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0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3.375" style="2"/>
    <col min="4" max="4" width="12.125" style="2" customWidth="1"/>
    <col min="5" max="5" width="13.375" style="2"/>
    <col min="6" max="6" width="12.125" style="2" customWidth="1"/>
    <col min="7" max="7" width="13.375" style="2"/>
    <col min="8" max="9" width="12.125" style="2" customWidth="1"/>
    <col min="10" max="256" width="13.375" style="2"/>
    <col min="257" max="257" width="13.375" style="2" customWidth="1"/>
    <col min="258" max="258" width="17.125" style="2" customWidth="1"/>
    <col min="259" max="259" width="13.375" style="2"/>
    <col min="260" max="260" width="12.125" style="2" customWidth="1"/>
    <col min="261" max="261" width="13.375" style="2"/>
    <col min="262" max="262" width="12.125" style="2" customWidth="1"/>
    <col min="263" max="263" width="13.375" style="2"/>
    <col min="264" max="265" width="12.125" style="2" customWidth="1"/>
    <col min="266" max="512" width="13.375" style="2"/>
    <col min="513" max="513" width="13.375" style="2" customWidth="1"/>
    <col min="514" max="514" width="17.125" style="2" customWidth="1"/>
    <col min="515" max="515" width="13.375" style="2"/>
    <col min="516" max="516" width="12.125" style="2" customWidth="1"/>
    <col min="517" max="517" width="13.375" style="2"/>
    <col min="518" max="518" width="12.125" style="2" customWidth="1"/>
    <col min="519" max="519" width="13.375" style="2"/>
    <col min="520" max="521" width="12.125" style="2" customWidth="1"/>
    <col min="522" max="768" width="13.375" style="2"/>
    <col min="769" max="769" width="13.375" style="2" customWidth="1"/>
    <col min="770" max="770" width="17.125" style="2" customWidth="1"/>
    <col min="771" max="771" width="13.375" style="2"/>
    <col min="772" max="772" width="12.125" style="2" customWidth="1"/>
    <col min="773" max="773" width="13.375" style="2"/>
    <col min="774" max="774" width="12.125" style="2" customWidth="1"/>
    <col min="775" max="775" width="13.375" style="2"/>
    <col min="776" max="777" width="12.125" style="2" customWidth="1"/>
    <col min="778" max="1024" width="13.375" style="2"/>
    <col min="1025" max="1025" width="13.375" style="2" customWidth="1"/>
    <col min="1026" max="1026" width="17.125" style="2" customWidth="1"/>
    <col min="1027" max="1027" width="13.375" style="2"/>
    <col min="1028" max="1028" width="12.125" style="2" customWidth="1"/>
    <col min="1029" max="1029" width="13.375" style="2"/>
    <col min="1030" max="1030" width="12.125" style="2" customWidth="1"/>
    <col min="1031" max="1031" width="13.375" style="2"/>
    <col min="1032" max="1033" width="12.125" style="2" customWidth="1"/>
    <col min="1034" max="1280" width="13.375" style="2"/>
    <col min="1281" max="1281" width="13.375" style="2" customWidth="1"/>
    <col min="1282" max="1282" width="17.125" style="2" customWidth="1"/>
    <col min="1283" max="1283" width="13.375" style="2"/>
    <col min="1284" max="1284" width="12.125" style="2" customWidth="1"/>
    <col min="1285" max="1285" width="13.375" style="2"/>
    <col min="1286" max="1286" width="12.125" style="2" customWidth="1"/>
    <col min="1287" max="1287" width="13.375" style="2"/>
    <col min="1288" max="1289" width="12.125" style="2" customWidth="1"/>
    <col min="1290" max="1536" width="13.375" style="2"/>
    <col min="1537" max="1537" width="13.375" style="2" customWidth="1"/>
    <col min="1538" max="1538" width="17.125" style="2" customWidth="1"/>
    <col min="1539" max="1539" width="13.375" style="2"/>
    <col min="1540" max="1540" width="12.125" style="2" customWidth="1"/>
    <col min="1541" max="1541" width="13.375" style="2"/>
    <col min="1542" max="1542" width="12.125" style="2" customWidth="1"/>
    <col min="1543" max="1543" width="13.375" style="2"/>
    <col min="1544" max="1545" width="12.125" style="2" customWidth="1"/>
    <col min="1546" max="1792" width="13.375" style="2"/>
    <col min="1793" max="1793" width="13.375" style="2" customWidth="1"/>
    <col min="1794" max="1794" width="17.125" style="2" customWidth="1"/>
    <col min="1795" max="1795" width="13.375" style="2"/>
    <col min="1796" max="1796" width="12.125" style="2" customWidth="1"/>
    <col min="1797" max="1797" width="13.375" style="2"/>
    <col min="1798" max="1798" width="12.125" style="2" customWidth="1"/>
    <col min="1799" max="1799" width="13.375" style="2"/>
    <col min="1800" max="1801" width="12.125" style="2" customWidth="1"/>
    <col min="1802" max="2048" width="13.375" style="2"/>
    <col min="2049" max="2049" width="13.375" style="2" customWidth="1"/>
    <col min="2050" max="2050" width="17.125" style="2" customWidth="1"/>
    <col min="2051" max="2051" width="13.375" style="2"/>
    <col min="2052" max="2052" width="12.125" style="2" customWidth="1"/>
    <col min="2053" max="2053" width="13.375" style="2"/>
    <col min="2054" max="2054" width="12.125" style="2" customWidth="1"/>
    <col min="2055" max="2055" width="13.375" style="2"/>
    <col min="2056" max="2057" width="12.125" style="2" customWidth="1"/>
    <col min="2058" max="2304" width="13.375" style="2"/>
    <col min="2305" max="2305" width="13.375" style="2" customWidth="1"/>
    <col min="2306" max="2306" width="17.125" style="2" customWidth="1"/>
    <col min="2307" max="2307" width="13.375" style="2"/>
    <col min="2308" max="2308" width="12.125" style="2" customWidth="1"/>
    <col min="2309" max="2309" width="13.375" style="2"/>
    <col min="2310" max="2310" width="12.125" style="2" customWidth="1"/>
    <col min="2311" max="2311" width="13.375" style="2"/>
    <col min="2312" max="2313" width="12.125" style="2" customWidth="1"/>
    <col min="2314" max="2560" width="13.375" style="2"/>
    <col min="2561" max="2561" width="13.375" style="2" customWidth="1"/>
    <col min="2562" max="2562" width="17.125" style="2" customWidth="1"/>
    <col min="2563" max="2563" width="13.375" style="2"/>
    <col min="2564" max="2564" width="12.125" style="2" customWidth="1"/>
    <col min="2565" max="2565" width="13.375" style="2"/>
    <col min="2566" max="2566" width="12.125" style="2" customWidth="1"/>
    <col min="2567" max="2567" width="13.375" style="2"/>
    <col min="2568" max="2569" width="12.125" style="2" customWidth="1"/>
    <col min="2570" max="2816" width="13.375" style="2"/>
    <col min="2817" max="2817" width="13.375" style="2" customWidth="1"/>
    <col min="2818" max="2818" width="17.125" style="2" customWidth="1"/>
    <col min="2819" max="2819" width="13.375" style="2"/>
    <col min="2820" max="2820" width="12.125" style="2" customWidth="1"/>
    <col min="2821" max="2821" width="13.375" style="2"/>
    <col min="2822" max="2822" width="12.125" style="2" customWidth="1"/>
    <col min="2823" max="2823" width="13.375" style="2"/>
    <col min="2824" max="2825" width="12.125" style="2" customWidth="1"/>
    <col min="2826" max="3072" width="13.375" style="2"/>
    <col min="3073" max="3073" width="13.375" style="2" customWidth="1"/>
    <col min="3074" max="3074" width="17.125" style="2" customWidth="1"/>
    <col min="3075" max="3075" width="13.375" style="2"/>
    <col min="3076" max="3076" width="12.125" style="2" customWidth="1"/>
    <col min="3077" max="3077" width="13.375" style="2"/>
    <col min="3078" max="3078" width="12.125" style="2" customWidth="1"/>
    <col min="3079" max="3079" width="13.375" style="2"/>
    <col min="3080" max="3081" width="12.125" style="2" customWidth="1"/>
    <col min="3082" max="3328" width="13.375" style="2"/>
    <col min="3329" max="3329" width="13.375" style="2" customWidth="1"/>
    <col min="3330" max="3330" width="17.125" style="2" customWidth="1"/>
    <col min="3331" max="3331" width="13.375" style="2"/>
    <col min="3332" max="3332" width="12.125" style="2" customWidth="1"/>
    <col min="3333" max="3333" width="13.375" style="2"/>
    <col min="3334" max="3334" width="12.125" style="2" customWidth="1"/>
    <col min="3335" max="3335" width="13.375" style="2"/>
    <col min="3336" max="3337" width="12.125" style="2" customWidth="1"/>
    <col min="3338" max="3584" width="13.375" style="2"/>
    <col min="3585" max="3585" width="13.375" style="2" customWidth="1"/>
    <col min="3586" max="3586" width="17.125" style="2" customWidth="1"/>
    <col min="3587" max="3587" width="13.375" style="2"/>
    <col min="3588" max="3588" width="12.125" style="2" customWidth="1"/>
    <col min="3589" max="3589" width="13.375" style="2"/>
    <col min="3590" max="3590" width="12.125" style="2" customWidth="1"/>
    <col min="3591" max="3591" width="13.375" style="2"/>
    <col min="3592" max="3593" width="12.125" style="2" customWidth="1"/>
    <col min="3594" max="3840" width="13.375" style="2"/>
    <col min="3841" max="3841" width="13.375" style="2" customWidth="1"/>
    <col min="3842" max="3842" width="17.125" style="2" customWidth="1"/>
    <col min="3843" max="3843" width="13.375" style="2"/>
    <col min="3844" max="3844" width="12.125" style="2" customWidth="1"/>
    <col min="3845" max="3845" width="13.375" style="2"/>
    <col min="3846" max="3846" width="12.125" style="2" customWidth="1"/>
    <col min="3847" max="3847" width="13.375" style="2"/>
    <col min="3848" max="3849" width="12.125" style="2" customWidth="1"/>
    <col min="3850" max="4096" width="13.375" style="2"/>
    <col min="4097" max="4097" width="13.375" style="2" customWidth="1"/>
    <col min="4098" max="4098" width="17.125" style="2" customWidth="1"/>
    <col min="4099" max="4099" width="13.375" style="2"/>
    <col min="4100" max="4100" width="12.125" style="2" customWidth="1"/>
    <col min="4101" max="4101" width="13.375" style="2"/>
    <col min="4102" max="4102" width="12.125" style="2" customWidth="1"/>
    <col min="4103" max="4103" width="13.375" style="2"/>
    <col min="4104" max="4105" width="12.125" style="2" customWidth="1"/>
    <col min="4106" max="4352" width="13.375" style="2"/>
    <col min="4353" max="4353" width="13.375" style="2" customWidth="1"/>
    <col min="4354" max="4354" width="17.125" style="2" customWidth="1"/>
    <col min="4355" max="4355" width="13.375" style="2"/>
    <col min="4356" max="4356" width="12.125" style="2" customWidth="1"/>
    <col min="4357" max="4357" width="13.375" style="2"/>
    <col min="4358" max="4358" width="12.125" style="2" customWidth="1"/>
    <col min="4359" max="4359" width="13.375" style="2"/>
    <col min="4360" max="4361" width="12.125" style="2" customWidth="1"/>
    <col min="4362" max="4608" width="13.375" style="2"/>
    <col min="4609" max="4609" width="13.375" style="2" customWidth="1"/>
    <col min="4610" max="4610" width="17.125" style="2" customWidth="1"/>
    <col min="4611" max="4611" width="13.375" style="2"/>
    <col min="4612" max="4612" width="12.125" style="2" customWidth="1"/>
    <col min="4613" max="4613" width="13.375" style="2"/>
    <col min="4614" max="4614" width="12.125" style="2" customWidth="1"/>
    <col min="4615" max="4615" width="13.375" style="2"/>
    <col min="4616" max="4617" width="12.125" style="2" customWidth="1"/>
    <col min="4618" max="4864" width="13.375" style="2"/>
    <col min="4865" max="4865" width="13.375" style="2" customWidth="1"/>
    <col min="4866" max="4866" width="17.125" style="2" customWidth="1"/>
    <col min="4867" max="4867" width="13.375" style="2"/>
    <col min="4868" max="4868" width="12.125" style="2" customWidth="1"/>
    <col min="4869" max="4869" width="13.375" style="2"/>
    <col min="4870" max="4870" width="12.125" style="2" customWidth="1"/>
    <col min="4871" max="4871" width="13.375" style="2"/>
    <col min="4872" max="4873" width="12.125" style="2" customWidth="1"/>
    <col min="4874" max="5120" width="13.375" style="2"/>
    <col min="5121" max="5121" width="13.375" style="2" customWidth="1"/>
    <col min="5122" max="5122" width="17.125" style="2" customWidth="1"/>
    <col min="5123" max="5123" width="13.375" style="2"/>
    <col min="5124" max="5124" width="12.125" style="2" customWidth="1"/>
    <col min="5125" max="5125" width="13.375" style="2"/>
    <col min="5126" max="5126" width="12.125" style="2" customWidth="1"/>
    <col min="5127" max="5127" width="13.375" style="2"/>
    <col min="5128" max="5129" width="12.125" style="2" customWidth="1"/>
    <col min="5130" max="5376" width="13.375" style="2"/>
    <col min="5377" max="5377" width="13.375" style="2" customWidth="1"/>
    <col min="5378" max="5378" width="17.125" style="2" customWidth="1"/>
    <col min="5379" max="5379" width="13.375" style="2"/>
    <col min="5380" max="5380" width="12.125" style="2" customWidth="1"/>
    <col min="5381" max="5381" width="13.375" style="2"/>
    <col min="5382" max="5382" width="12.125" style="2" customWidth="1"/>
    <col min="5383" max="5383" width="13.375" style="2"/>
    <col min="5384" max="5385" width="12.125" style="2" customWidth="1"/>
    <col min="5386" max="5632" width="13.375" style="2"/>
    <col min="5633" max="5633" width="13.375" style="2" customWidth="1"/>
    <col min="5634" max="5634" width="17.125" style="2" customWidth="1"/>
    <col min="5635" max="5635" width="13.375" style="2"/>
    <col min="5636" max="5636" width="12.125" style="2" customWidth="1"/>
    <col min="5637" max="5637" width="13.375" style="2"/>
    <col min="5638" max="5638" width="12.125" style="2" customWidth="1"/>
    <col min="5639" max="5639" width="13.375" style="2"/>
    <col min="5640" max="5641" width="12.125" style="2" customWidth="1"/>
    <col min="5642" max="5888" width="13.375" style="2"/>
    <col min="5889" max="5889" width="13.375" style="2" customWidth="1"/>
    <col min="5890" max="5890" width="17.125" style="2" customWidth="1"/>
    <col min="5891" max="5891" width="13.375" style="2"/>
    <col min="5892" max="5892" width="12.125" style="2" customWidth="1"/>
    <col min="5893" max="5893" width="13.375" style="2"/>
    <col min="5894" max="5894" width="12.125" style="2" customWidth="1"/>
    <col min="5895" max="5895" width="13.375" style="2"/>
    <col min="5896" max="5897" width="12.125" style="2" customWidth="1"/>
    <col min="5898" max="6144" width="13.375" style="2"/>
    <col min="6145" max="6145" width="13.375" style="2" customWidth="1"/>
    <col min="6146" max="6146" width="17.125" style="2" customWidth="1"/>
    <col min="6147" max="6147" width="13.375" style="2"/>
    <col min="6148" max="6148" width="12.125" style="2" customWidth="1"/>
    <col min="6149" max="6149" width="13.375" style="2"/>
    <col min="6150" max="6150" width="12.125" style="2" customWidth="1"/>
    <col min="6151" max="6151" width="13.375" style="2"/>
    <col min="6152" max="6153" width="12.125" style="2" customWidth="1"/>
    <col min="6154" max="6400" width="13.375" style="2"/>
    <col min="6401" max="6401" width="13.375" style="2" customWidth="1"/>
    <col min="6402" max="6402" width="17.125" style="2" customWidth="1"/>
    <col min="6403" max="6403" width="13.375" style="2"/>
    <col min="6404" max="6404" width="12.125" style="2" customWidth="1"/>
    <col min="6405" max="6405" width="13.375" style="2"/>
    <col min="6406" max="6406" width="12.125" style="2" customWidth="1"/>
    <col min="6407" max="6407" width="13.375" style="2"/>
    <col min="6408" max="6409" width="12.125" style="2" customWidth="1"/>
    <col min="6410" max="6656" width="13.375" style="2"/>
    <col min="6657" max="6657" width="13.375" style="2" customWidth="1"/>
    <col min="6658" max="6658" width="17.125" style="2" customWidth="1"/>
    <col min="6659" max="6659" width="13.375" style="2"/>
    <col min="6660" max="6660" width="12.125" style="2" customWidth="1"/>
    <col min="6661" max="6661" width="13.375" style="2"/>
    <col min="6662" max="6662" width="12.125" style="2" customWidth="1"/>
    <col min="6663" max="6663" width="13.375" style="2"/>
    <col min="6664" max="6665" width="12.125" style="2" customWidth="1"/>
    <col min="6666" max="6912" width="13.375" style="2"/>
    <col min="6913" max="6913" width="13.375" style="2" customWidth="1"/>
    <col min="6914" max="6914" width="17.125" style="2" customWidth="1"/>
    <col min="6915" max="6915" width="13.375" style="2"/>
    <col min="6916" max="6916" width="12.125" style="2" customWidth="1"/>
    <col min="6917" max="6917" width="13.375" style="2"/>
    <col min="6918" max="6918" width="12.125" style="2" customWidth="1"/>
    <col min="6919" max="6919" width="13.375" style="2"/>
    <col min="6920" max="6921" width="12.125" style="2" customWidth="1"/>
    <col min="6922" max="7168" width="13.375" style="2"/>
    <col min="7169" max="7169" width="13.375" style="2" customWidth="1"/>
    <col min="7170" max="7170" width="17.125" style="2" customWidth="1"/>
    <col min="7171" max="7171" width="13.375" style="2"/>
    <col min="7172" max="7172" width="12.125" style="2" customWidth="1"/>
    <col min="7173" max="7173" width="13.375" style="2"/>
    <col min="7174" max="7174" width="12.125" style="2" customWidth="1"/>
    <col min="7175" max="7175" width="13.375" style="2"/>
    <col min="7176" max="7177" width="12.125" style="2" customWidth="1"/>
    <col min="7178" max="7424" width="13.375" style="2"/>
    <col min="7425" max="7425" width="13.375" style="2" customWidth="1"/>
    <col min="7426" max="7426" width="17.125" style="2" customWidth="1"/>
    <col min="7427" max="7427" width="13.375" style="2"/>
    <col min="7428" max="7428" width="12.125" style="2" customWidth="1"/>
    <col min="7429" max="7429" width="13.375" style="2"/>
    <col min="7430" max="7430" width="12.125" style="2" customWidth="1"/>
    <col min="7431" max="7431" width="13.375" style="2"/>
    <col min="7432" max="7433" width="12.125" style="2" customWidth="1"/>
    <col min="7434" max="7680" width="13.375" style="2"/>
    <col min="7681" max="7681" width="13.375" style="2" customWidth="1"/>
    <col min="7682" max="7682" width="17.125" style="2" customWidth="1"/>
    <col min="7683" max="7683" width="13.375" style="2"/>
    <col min="7684" max="7684" width="12.125" style="2" customWidth="1"/>
    <col min="7685" max="7685" width="13.375" style="2"/>
    <col min="7686" max="7686" width="12.125" style="2" customWidth="1"/>
    <col min="7687" max="7687" width="13.375" style="2"/>
    <col min="7688" max="7689" width="12.125" style="2" customWidth="1"/>
    <col min="7690" max="7936" width="13.375" style="2"/>
    <col min="7937" max="7937" width="13.375" style="2" customWidth="1"/>
    <col min="7938" max="7938" width="17.125" style="2" customWidth="1"/>
    <col min="7939" max="7939" width="13.375" style="2"/>
    <col min="7940" max="7940" width="12.125" style="2" customWidth="1"/>
    <col min="7941" max="7941" width="13.375" style="2"/>
    <col min="7942" max="7942" width="12.125" style="2" customWidth="1"/>
    <col min="7943" max="7943" width="13.375" style="2"/>
    <col min="7944" max="7945" width="12.125" style="2" customWidth="1"/>
    <col min="7946" max="8192" width="13.375" style="2"/>
    <col min="8193" max="8193" width="13.375" style="2" customWidth="1"/>
    <col min="8194" max="8194" width="17.125" style="2" customWidth="1"/>
    <col min="8195" max="8195" width="13.375" style="2"/>
    <col min="8196" max="8196" width="12.125" style="2" customWidth="1"/>
    <col min="8197" max="8197" width="13.375" style="2"/>
    <col min="8198" max="8198" width="12.125" style="2" customWidth="1"/>
    <col min="8199" max="8199" width="13.375" style="2"/>
    <col min="8200" max="8201" width="12.125" style="2" customWidth="1"/>
    <col min="8202" max="8448" width="13.375" style="2"/>
    <col min="8449" max="8449" width="13.375" style="2" customWidth="1"/>
    <col min="8450" max="8450" width="17.125" style="2" customWidth="1"/>
    <col min="8451" max="8451" width="13.375" style="2"/>
    <col min="8452" max="8452" width="12.125" style="2" customWidth="1"/>
    <col min="8453" max="8453" width="13.375" style="2"/>
    <col min="8454" max="8454" width="12.125" style="2" customWidth="1"/>
    <col min="8455" max="8455" width="13.375" style="2"/>
    <col min="8456" max="8457" width="12.125" style="2" customWidth="1"/>
    <col min="8458" max="8704" width="13.375" style="2"/>
    <col min="8705" max="8705" width="13.375" style="2" customWidth="1"/>
    <col min="8706" max="8706" width="17.125" style="2" customWidth="1"/>
    <col min="8707" max="8707" width="13.375" style="2"/>
    <col min="8708" max="8708" width="12.125" style="2" customWidth="1"/>
    <col min="8709" max="8709" width="13.375" style="2"/>
    <col min="8710" max="8710" width="12.125" style="2" customWidth="1"/>
    <col min="8711" max="8711" width="13.375" style="2"/>
    <col min="8712" max="8713" width="12.125" style="2" customWidth="1"/>
    <col min="8714" max="8960" width="13.375" style="2"/>
    <col min="8961" max="8961" width="13.375" style="2" customWidth="1"/>
    <col min="8962" max="8962" width="17.125" style="2" customWidth="1"/>
    <col min="8963" max="8963" width="13.375" style="2"/>
    <col min="8964" max="8964" width="12.125" style="2" customWidth="1"/>
    <col min="8965" max="8965" width="13.375" style="2"/>
    <col min="8966" max="8966" width="12.125" style="2" customWidth="1"/>
    <col min="8967" max="8967" width="13.375" style="2"/>
    <col min="8968" max="8969" width="12.125" style="2" customWidth="1"/>
    <col min="8970" max="9216" width="13.375" style="2"/>
    <col min="9217" max="9217" width="13.375" style="2" customWidth="1"/>
    <col min="9218" max="9218" width="17.125" style="2" customWidth="1"/>
    <col min="9219" max="9219" width="13.375" style="2"/>
    <col min="9220" max="9220" width="12.125" style="2" customWidth="1"/>
    <col min="9221" max="9221" width="13.375" style="2"/>
    <col min="9222" max="9222" width="12.125" style="2" customWidth="1"/>
    <col min="9223" max="9223" width="13.375" style="2"/>
    <col min="9224" max="9225" width="12.125" style="2" customWidth="1"/>
    <col min="9226" max="9472" width="13.375" style="2"/>
    <col min="9473" max="9473" width="13.375" style="2" customWidth="1"/>
    <col min="9474" max="9474" width="17.125" style="2" customWidth="1"/>
    <col min="9475" max="9475" width="13.375" style="2"/>
    <col min="9476" max="9476" width="12.125" style="2" customWidth="1"/>
    <col min="9477" max="9477" width="13.375" style="2"/>
    <col min="9478" max="9478" width="12.125" style="2" customWidth="1"/>
    <col min="9479" max="9479" width="13.375" style="2"/>
    <col min="9480" max="9481" width="12.125" style="2" customWidth="1"/>
    <col min="9482" max="9728" width="13.375" style="2"/>
    <col min="9729" max="9729" width="13.375" style="2" customWidth="1"/>
    <col min="9730" max="9730" width="17.125" style="2" customWidth="1"/>
    <col min="9731" max="9731" width="13.375" style="2"/>
    <col min="9732" max="9732" width="12.125" style="2" customWidth="1"/>
    <col min="9733" max="9733" width="13.375" style="2"/>
    <col min="9734" max="9734" width="12.125" style="2" customWidth="1"/>
    <col min="9735" max="9735" width="13.375" style="2"/>
    <col min="9736" max="9737" width="12.125" style="2" customWidth="1"/>
    <col min="9738" max="9984" width="13.375" style="2"/>
    <col min="9985" max="9985" width="13.375" style="2" customWidth="1"/>
    <col min="9986" max="9986" width="17.125" style="2" customWidth="1"/>
    <col min="9987" max="9987" width="13.375" style="2"/>
    <col min="9988" max="9988" width="12.125" style="2" customWidth="1"/>
    <col min="9989" max="9989" width="13.375" style="2"/>
    <col min="9990" max="9990" width="12.125" style="2" customWidth="1"/>
    <col min="9991" max="9991" width="13.375" style="2"/>
    <col min="9992" max="9993" width="12.125" style="2" customWidth="1"/>
    <col min="9994" max="10240" width="13.375" style="2"/>
    <col min="10241" max="10241" width="13.375" style="2" customWidth="1"/>
    <col min="10242" max="10242" width="17.125" style="2" customWidth="1"/>
    <col min="10243" max="10243" width="13.375" style="2"/>
    <col min="10244" max="10244" width="12.125" style="2" customWidth="1"/>
    <col min="10245" max="10245" width="13.375" style="2"/>
    <col min="10246" max="10246" width="12.125" style="2" customWidth="1"/>
    <col min="10247" max="10247" width="13.375" style="2"/>
    <col min="10248" max="10249" width="12.125" style="2" customWidth="1"/>
    <col min="10250" max="10496" width="13.375" style="2"/>
    <col min="10497" max="10497" width="13.375" style="2" customWidth="1"/>
    <col min="10498" max="10498" width="17.125" style="2" customWidth="1"/>
    <col min="10499" max="10499" width="13.375" style="2"/>
    <col min="10500" max="10500" width="12.125" style="2" customWidth="1"/>
    <col min="10501" max="10501" width="13.375" style="2"/>
    <col min="10502" max="10502" width="12.125" style="2" customWidth="1"/>
    <col min="10503" max="10503" width="13.375" style="2"/>
    <col min="10504" max="10505" width="12.125" style="2" customWidth="1"/>
    <col min="10506" max="10752" width="13.375" style="2"/>
    <col min="10753" max="10753" width="13.375" style="2" customWidth="1"/>
    <col min="10754" max="10754" width="17.125" style="2" customWidth="1"/>
    <col min="10755" max="10755" width="13.375" style="2"/>
    <col min="10756" max="10756" width="12.125" style="2" customWidth="1"/>
    <col min="10757" max="10757" width="13.375" style="2"/>
    <col min="10758" max="10758" width="12.125" style="2" customWidth="1"/>
    <col min="10759" max="10759" width="13.375" style="2"/>
    <col min="10760" max="10761" width="12.125" style="2" customWidth="1"/>
    <col min="10762" max="11008" width="13.375" style="2"/>
    <col min="11009" max="11009" width="13.375" style="2" customWidth="1"/>
    <col min="11010" max="11010" width="17.125" style="2" customWidth="1"/>
    <col min="11011" max="11011" width="13.375" style="2"/>
    <col min="11012" max="11012" width="12.125" style="2" customWidth="1"/>
    <col min="11013" max="11013" width="13.375" style="2"/>
    <col min="11014" max="11014" width="12.125" style="2" customWidth="1"/>
    <col min="11015" max="11015" width="13.375" style="2"/>
    <col min="11016" max="11017" width="12.125" style="2" customWidth="1"/>
    <col min="11018" max="11264" width="13.375" style="2"/>
    <col min="11265" max="11265" width="13.375" style="2" customWidth="1"/>
    <col min="11266" max="11266" width="17.125" style="2" customWidth="1"/>
    <col min="11267" max="11267" width="13.375" style="2"/>
    <col min="11268" max="11268" width="12.125" style="2" customWidth="1"/>
    <col min="11269" max="11269" width="13.375" style="2"/>
    <col min="11270" max="11270" width="12.125" style="2" customWidth="1"/>
    <col min="11271" max="11271" width="13.375" style="2"/>
    <col min="11272" max="11273" width="12.125" style="2" customWidth="1"/>
    <col min="11274" max="11520" width="13.375" style="2"/>
    <col min="11521" max="11521" width="13.375" style="2" customWidth="1"/>
    <col min="11522" max="11522" width="17.125" style="2" customWidth="1"/>
    <col min="11523" max="11523" width="13.375" style="2"/>
    <col min="11524" max="11524" width="12.125" style="2" customWidth="1"/>
    <col min="11525" max="11525" width="13.375" style="2"/>
    <col min="11526" max="11526" width="12.125" style="2" customWidth="1"/>
    <col min="11527" max="11527" width="13.375" style="2"/>
    <col min="11528" max="11529" width="12.125" style="2" customWidth="1"/>
    <col min="11530" max="11776" width="13.375" style="2"/>
    <col min="11777" max="11777" width="13.375" style="2" customWidth="1"/>
    <col min="11778" max="11778" width="17.125" style="2" customWidth="1"/>
    <col min="11779" max="11779" width="13.375" style="2"/>
    <col min="11780" max="11780" width="12.125" style="2" customWidth="1"/>
    <col min="11781" max="11781" width="13.375" style="2"/>
    <col min="11782" max="11782" width="12.125" style="2" customWidth="1"/>
    <col min="11783" max="11783" width="13.375" style="2"/>
    <col min="11784" max="11785" width="12.125" style="2" customWidth="1"/>
    <col min="11786" max="12032" width="13.375" style="2"/>
    <col min="12033" max="12033" width="13.375" style="2" customWidth="1"/>
    <col min="12034" max="12034" width="17.125" style="2" customWidth="1"/>
    <col min="12035" max="12035" width="13.375" style="2"/>
    <col min="12036" max="12036" width="12.125" style="2" customWidth="1"/>
    <col min="12037" max="12037" width="13.375" style="2"/>
    <col min="12038" max="12038" width="12.125" style="2" customWidth="1"/>
    <col min="12039" max="12039" width="13.375" style="2"/>
    <col min="12040" max="12041" width="12.125" style="2" customWidth="1"/>
    <col min="12042" max="12288" width="13.375" style="2"/>
    <col min="12289" max="12289" width="13.375" style="2" customWidth="1"/>
    <col min="12290" max="12290" width="17.125" style="2" customWidth="1"/>
    <col min="12291" max="12291" width="13.375" style="2"/>
    <col min="12292" max="12292" width="12.125" style="2" customWidth="1"/>
    <col min="12293" max="12293" width="13.375" style="2"/>
    <col min="12294" max="12294" width="12.125" style="2" customWidth="1"/>
    <col min="12295" max="12295" width="13.375" style="2"/>
    <col min="12296" max="12297" width="12.125" style="2" customWidth="1"/>
    <col min="12298" max="12544" width="13.375" style="2"/>
    <col min="12545" max="12545" width="13.375" style="2" customWidth="1"/>
    <col min="12546" max="12546" width="17.125" style="2" customWidth="1"/>
    <col min="12547" max="12547" width="13.375" style="2"/>
    <col min="12548" max="12548" width="12.125" style="2" customWidth="1"/>
    <col min="12549" max="12549" width="13.375" style="2"/>
    <col min="12550" max="12550" width="12.125" style="2" customWidth="1"/>
    <col min="12551" max="12551" width="13.375" style="2"/>
    <col min="12552" max="12553" width="12.125" style="2" customWidth="1"/>
    <col min="12554" max="12800" width="13.375" style="2"/>
    <col min="12801" max="12801" width="13.375" style="2" customWidth="1"/>
    <col min="12802" max="12802" width="17.125" style="2" customWidth="1"/>
    <col min="12803" max="12803" width="13.375" style="2"/>
    <col min="12804" max="12804" width="12.125" style="2" customWidth="1"/>
    <col min="12805" max="12805" width="13.375" style="2"/>
    <col min="12806" max="12806" width="12.125" style="2" customWidth="1"/>
    <col min="12807" max="12807" width="13.375" style="2"/>
    <col min="12808" max="12809" width="12.125" style="2" customWidth="1"/>
    <col min="12810" max="13056" width="13.375" style="2"/>
    <col min="13057" max="13057" width="13.375" style="2" customWidth="1"/>
    <col min="13058" max="13058" width="17.125" style="2" customWidth="1"/>
    <col min="13059" max="13059" width="13.375" style="2"/>
    <col min="13060" max="13060" width="12.125" style="2" customWidth="1"/>
    <col min="13061" max="13061" width="13.375" style="2"/>
    <col min="13062" max="13062" width="12.125" style="2" customWidth="1"/>
    <col min="13063" max="13063" width="13.375" style="2"/>
    <col min="13064" max="13065" width="12.125" style="2" customWidth="1"/>
    <col min="13066" max="13312" width="13.375" style="2"/>
    <col min="13313" max="13313" width="13.375" style="2" customWidth="1"/>
    <col min="13314" max="13314" width="17.125" style="2" customWidth="1"/>
    <col min="13315" max="13315" width="13.375" style="2"/>
    <col min="13316" max="13316" width="12.125" style="2" customWidth="1"/>
    <col min="13317" max="13317" width="13.375" style="2"/>
    <col min="13318" max="13318" width="12.125" style="2" customWidth="1"/>
    <col min="13319" max="13319" width="13.375" style="2"/>
    <col min="13320" max="13321" width="12.125" style="2" customWidth="1"/>
    <col min="13322" max="13568" width="13.375" style="2"/>
    <col min="13569" max="13569" width="13.375" style="2" customWidth="1"/>
    <col min="13570" max="13570" width="17.125" style="2" customWidth="1"/>
    <col min="13571" max="13571" width="13.375" style="2"/>
    <col min="13572" max="13572" width="12.125" style="2" customWidth="1"/>
    <col min="13573" max="13573" width="13.375" style="2"/>
    <col min="13574" max="13574" width="12.125" style="2" customWidth="1"/>
    <col min="13575" max="13575" width="13.375" style="2"/>
    <col min="13576" max="13577" width="12.125" style="2" customWidth="1"/>
    <col min="13578" max="13824" width="13.375" style="2"/>
    <col min="13825" max="13825" width="13.375" style="2" customWidth="1"/>
    <col min="13826" max="13826" width="17.125" style="2" customWidth="1"/>
    <col min="13827" max="13827" width="13.375" style="2"/>
    <col min="13828" max="13828" width="12.125" style="2" customWidth="1"/>
    <col min="13829" max="13829" width="13.375" style="2"/>
    <col min="13830" max="13830" width="12.125" style="2" customWidth="1"/>
    <col min="13831" max="13831" width="13.375" style="2"/>
    <col min="13832" max="13833" width="12.125" style="2" customWidth="1"/>
    <col min="13834" max="14080" width="13.375" style="2"/>
    <col min="14081" max="14081" width="13.375" style="2" customWidth="1"/>
    <col min="14082" max="14082" width="17.125" style="2" customWidth="1"/>
    <col min="14083" max="14083" width="13.375" style="2"/>
    <col min="14084" max="14084" width="12.125" style="2" customWidth="1"/>
    <col min="14085" max="14085" width="13.375" style="2"/>
    <col min="14086" max="14086" width="12.125" style="2" customWidth="1"/>
    <col min="14087" max="14087" width="13.375" style="2"/>
    <col min="14088" max="14089" width="12.125" style="2" customWidth="1"/>
    <col min="14090" max="14336" width="13.375" style="2"/>
    <col min="14337" max="14337" width="13.375" style="2" customWidth="1"/>
    <col min="14338" max="14338" width="17.125" style="2" customWidth="1"/>
    <col min="14339" max="14339" width="13.375" style="2"/>
    <col min="14340" max="14340" width="12.125" style="2" customWidth="1"/>
    <col min="14341" max="14341" width="13.375" style="2"/>
    <col min="14342" max="14342" width="12.125" style="2" customWidth="1"/>
    <col min="14343" max="14343" width="13.375" style="2"/>
    <col min="14344" max="14345" width="12.125" style="2" customWidth="1"/>
    <col min="14346" max="14592" width="13.375" style="2"/>
    <col min="14593" max="14593" width="13.375" style="2" customWidth="1"/>
    <col min="14594" max="14594" width="17.125" style="2" customWidth="1"/>
    <col min="14595" max="14595" width="13.375" style="2"/>
    <col min="14596" max="14596" width="12.125" style="2" customWidth="1"/>
    <col min="14597" max="14597" width="13.375" style="2"/>
    <col min="14598" max="14598" width="12.125" style="2" customWidth="1"/>
    <col min="14599" max="14599" width="13.375" style="2"/>
    <col min="14600" max="14601" width="12.125" style="2" customWidth="1"/>
    <col min="14602" max="14848" width="13.375" style="2"/>
    <col min="14849" max="14849" width="13.375" style="2" customWidth="1"/>
    <col min="14850" max="14850" width="17.125" style="2" customWidth="1"/>
    <col min="14851" max="14851" width="13.375" style="2"/>
    <col min="14852" max="14852" width="12.125" style="2" customWidth="1"/>
    <col min="14853" max="14853" width="13.375" style="2"/>
    <col min="14854" max="14854" width="12.125" style="2" customWidth="1"/>
    <col min="14855" max="14855" width="13.375" style="2"/>
    <col min="14856" max="14857" width="12.125" style="2" customWidth="1"/>
    <col min="14858" max="15104" width="13.375" style="2"/>
    <col min="15105" max="15105" width="13.375" style="2" customWidth="1"/>
    <col min="15106" max="15106" width="17.125" style="2" customWidth="1"/>
    <col min="15107" max="15107" width="13.375" style="2"/>
    <col min="15108" max="15108" width="12.125" style="2" customWidth="1"/>
    <col min="15109" max="15109" width="13.375" style="2"/>
    <col min="15110" max="15110" width="12.125" style="2" customWidth="1"/>
    <col min="15111" max="15111" width="13.375" style="2"/>
    <col min="15112" max="15113" width="12.125" style="2" customWidth="1"/>
    <col min="15114" max="15360" width="13.375" style="2"/>
    <col min="15361" max="15361" width="13.375" style="2" customWidth="1"/>
    <col min="15362" max="15362" width="17.125" style="2" customWidth="1"/>
    <col min="15363" max="15363" width="13.375" style="2"/>
    <col min="15364" max="15364" width="12.125" style="2" customWidth="1"/>
    <col min="15365" max="15365" width="13.375" style="2"/>
    <col min="15366" max="15366" width="12.125" style="2" customWidth="1"/>
    <col min="15367" max="15367" width="13.375" style="2"/>
    <col min="15368" max="15369" width="12.125" style="2" customWidth="1"/>
    <col min="15370" max="15616" width="13.375" style="2"/>
    <col min="15617" max="15617" width="13.375" style="2" customWidth="1"/>
    <col min="15618" max="15618" width="17.125" style="2" customWidth="1"/>
    <col min="15619" max="15619" width="13.375" style="2"/>
    <col min="15620" max="15620" width="12.125" style="2" customWidth="1"/>
    <col min="15621" max="15621" width="13.375" style="2"/>
    <col min="15622" max="15622" width="12.125" style="2" customWidth="1"/>
    <col min="15623" max="15623" width="13.375" style="2"/>
    <col min="15624" max="15625" width="12.125" style="2" customWidth="1"/>
    <col min="15626" max="15872" width="13.375" style="2"/>
    <col min="15873" max="15873" width="13.375" style="2" customWidth="1"/>
    <col min="15874" max="15874" width="17.125" style="2" customWidth="1"/>
    <col min="15875" max="15875" width="13.375" style="2"/>
    <col min="15876" max="15876" width="12.125" style="2" customWidth="1"/>
    <col min="15877" max="15877" width="13.375" style="2"/>
    <col min="15878" max="15878" width="12.125" style="2" customWidth="1"/>
    <col min="15879" max="15879" width="13.375" style="2"/>
    <col min="15880" max="15881" width="12.125" style="2" customWidth="1"/>
    <col min="15882" max="16128" width="13.375" style="2"/>
    <col min="16129" max="16129" width="13.375" style="2" customWidth="1"/>
    <col min="16130" max="16130" width="17.125" style="2" customWidth="1"/>
    <col min="16131" max="16131" width="13.375" style="2"/>
    <col min="16132" max="16132" width="12.125" style="2" customWidth="1"/>
    <col min="16133" max="16133" width="13.375" style="2"/>
    <col min="16134" max="16134" width="12.125" style="2" customWidth="1"/>
    <col min="16135" max="16135" width="13.375" style="2"/>
    <col min="16136" max="16137" width="12.125" style="2" customWidth="1"/>
    <col min="16138" max="16384" width="13.375" style="2"/>
  </cols>
  <sheetData>
    <row r="1" spans="1:12" x14ac:dyDescent="0.2">
      <c r="A1" s="1"/>
    </row>
    <row r="6" spans="1:12" x14ac:dyDescent="0.2">
      <c r="D6" s="4" t="s">
        <v>835</v>
      </c>
    </row>
    <row r="7" spans="1:12" ht="18" thickBot="1" x14ac:dyDescent="0.25">
      <c r="B7" s="6"/>
      <c r="C7" s="6"/>
      <c r="D7" s="7" t="s">
        <v>836</v>
      </c>
      <c r="E7" s="6"/>
      <c r="F7" s="6"/>
      <c r="G7" s="6"/>
      <c r="H7" s="6"/>
      <c r="I7" s="6"/>
      <c r="J7" s="6"/>
      <c r="K7" s="7" t="s">
        <v>226</v>
      </c>
    </row>
    <row r="8" spans="1:12" x14ac:dyDescent="0.2">
      <c r="C8" s="10"/>
      <c r="D8" s="12"/>
      <c r="E8" s="12"/>
      <c r="F8" s="12"/>
      <c r="G8" s="12"/>
      <c r="H8" s="12"/>
      <c r="I8" s="12"/>
      <c r="J8" s="10"/>
      <c r="K8" s="12"/>
      <c r="L8" s="3"/>
    </row>
    <row r="9" spans="1:12" x14ac:dyDescent="0.2">
      <c r="C9" s="16" t="s">
        <v>772</v>
      </c>
      <c r="D9" s="10"/>
      <c r="E9" s="10"/>
      <c r="F9" s="10"/>
      <c r="G9" s="10"/>
      <c r="H9" s="10"/>
      <c r="I9" s="10"/>
      <c r="J9" s="16" t="s">
        <v>837</v>
      </c>
      <c r="K9" s="16" t="s">
        <v>838</v>
      </c>
      <c r="L9" s="3"/>
    </row>
    <row r="10" spans="1:12" x14ac:dyDescent="0.2">
      <c r="B10" s="12"/>
      <c r="C10" s="14"/>
      <c r="D10" s="17" t="s">
        <v>839</v>
      </c>
      <c r="E10" s="17" t="s">
        <v>840</v>
      </c>
      <c r="F10" s="17" t="s">
        <v>841</v>
      </c>
      <c r="G10" s="17" t="s">
        <v>842</v>
      </c>
      <c r="H10" s="17" t="s">
        <v>843</v>
      </c>
      <c r="I10" s="17" t="s">
        <v>51</v>
      </c>
      <c r="J10" s="17" t="s">
        <v>353</v>
      </c>
      <c r="K10" s="29" t="s">
        <v>844</v>
      </c>
      <c r="L10" s="3"/>
    </row>
    <row r="11" spans="1:12" x14ac:dyDescent="0.2">
      <c r="C11" s="10"/>
    </row>
    <row r="12" spans="1:12" x14ac:dyDescent="0.2">
      <c r="B12" s="4" t="s">
        <v>621</v>
      </c>
      <c r="C12" s="20">
        <f t="shared" ref="C12:K12" si="0">SUM(C14:C70)</f>
        <v>2320</v>
      </c>
      <c r="D12" s="21">
        <f t="shared" si="0"/>
        <v>53</v>
      </c>
      <c r="E12" s="21">
        <f t="shared" si="0"/>
        <v>797</v>
      </c>
      <c r="F12" s="21">
        <f t="shared" si="0"/>
        <v>896</v>
      </c>
      <c r="G12" s="21">
        <f>SUM(G14:G70)</f>
        <v>132</v>
      </c>
      <c r="H12" s="21">
        <f t="shared" si="0"/>
        <v>358</v>
      </c>
      <c r="I12" s="21">
        <f t="shared" si="0"/>
        <v>84</v>
      </c>
      <c r="J12" s="21">
        <f t="shared" si="0"/>
        <v>677</v>
      </c>
      <c r="K12" s="21">
        <f t="shared" si="0"/>
        <v>662</v>
      </c>
    </row>
    <row r="13" spans="1:12" x14ac:dyDescent="0.2">
      <c r="C13" s="10"/>
    </row>
    <row r="14" spans="1:12" x14ac:dyDescent="0.2">
      <c r="B14" s="1" t="s">
        <v>239</v>
      </c>
      <c r="C14" s="28">
        <v>1240</v>
      </c>
      <c r="D14" s="5">
        <v>28</v>
      </c>
      <c r="E14" s="5">
        <v>355</v>
      </c>
      <c r="F14" s="5">
        <v>420</v>
      </c>
      <c r="G14" s="5">
        <v>56</v>
      </c>
      <c r="H14" s="5">
        <v>326</v>
      </c>
      <c r="I14" s="43">
        <f t="shared" ref="I14:I20" si="1">C14-SUM(D14:H14)</f>
        <v>55</v>
      </c>
      <c r="J14" s="5">
        <v>293</v>
      </c>
      <c r="K14" s="5">
        <v>285</v>
      </c>
    </row>
    <row r="15" spans="1:12" x14ac:dyDescent="0.2">
      <c r="B15" s="1" t="s">
        <v>240</v>
      </c>
      <c r="C15" s="28">
        <v>86</v>
      </c>
      <c r="D15" s="5">
        <v>4</v>
      </c>
      <c r="E15" s="5">
        <v>42</v>
      </c>
      <c r="F15" s="5">
        <v>34</v>
      </c>
      <c r="G15" s="5">
        <v>2</v>
      </c>
      <c r="H15" s="35" t="s">
        <v>52</v>
      </c>
      <c r="I15" s="43">
        <f t="shared" si="1"/>
        <v>4</v>
      </c>
      <c r="J15" s="5">
        <v>37</v>
      </c>
      <c r="K15" s="5">
        <v>37</v>
      </c>
    </row>
    <row r="16" spans="1:12" x14ac:dyDescent="0.2">
      <c r="B16" s="1" t="s">
        <v>241</v>
      </c>
      <c r="C16" s="28">
        <v>87</v>
      </c>
      <c r="D16" s="5">
        <v>2</v>
      </c>
      <c r="E16" s="5">
        <v>36</v>
      </c>
      <c r="F16" s="5">
        <v>37</v>
      </c>
      <c r="G16" s="5">
        <v>9</v>
      </c>
      <c r="H16" s="35" t="s">
        <v>52</v>
      </c>
      <c r="I16" s="43">
        <f t="shared" si="1"/>
        <v>3</v>
      </c>
      <c r="J16" s="5">
        <v>25</v>
      </c>
      <c r="K16" s="5">
        <v>25</v>
      </c>
    </row>
    <row r="17" spans="2:11" x14ac:dyDescent="0.2">
      <c r="B17" s="1" t="s">
        <v>242</v>
      </c>
      <c r="C17" s="28">
        <v>47</v>
      </c>
      <c r="D17" s="5">
        <v>1</v>
      </c>
      <c r="E17" s="5">
        <v>21</v>
      </c>
      <c r="F17" s="5">
        <v>24</v>
      </c>
      <c r="G17" s="5">
        <v>1</v>
      </c>
      <c r="H17" s="35" t="s">
        <v>52</v>
      </c>
      <c r="I17" s="44" t="s">
        <v>52</v>
      </c>
      <c r="J17" s="5">
        <v>16</v>
      </c>
      <c r="K17" s="5">
        <v>16</v>
      </c>
    </row>
    <row r="18" spans="2:11" x14ac:dyDescent="0.2">
      <c r="B18" s="1" t="s">
        <v>243</v>
      </c>
      <c r="C18" s="28">
        <v>76</v>
      </c>
      <c r="D18" s="5">
        <v>2</v>
      </c>
      <c r="E18" s="5">
        <v>24</v>
      </c>
      <c r="F18" s="5">
        <v>45</v>
      </c>
      <c r="G18" s="5">
        <v>4</v>
      </c>
      <c r="H18" s="35" t="s">
        <v>52</v>
      </c>
      <c r="I18" s="43">
        <f t="shared" si="1"/>
        <v>1</v>
      </c>
      <c r="J18" s="5">
        <v>22</v>
      </c>
      <c r="K18" s="5">
        <v>22</v>
      </c>
    </row>
    <row r="19" spans="2:11" x14ac:dyDescent="0.2">
      <c r="B19" s="1" t="s">
        <v>244</v>
      </c>
      <c r="C19" s="28">
        <v>184</v>
      </c>
      <c r="D19" s="5">
        <v>3</v>
      </c>
      <c r="E19" s="5">
        <v>47</v>
      </c>
      <c r="F19" s="5">
        <v>121</v>
      </c>
      <c r="G19" s="5">
        <v>7</v>
      </c>
      <c r="H19" s="5">
        <v>1</v>
      </c>
      <c r="I19" s="43">
        <f t="shared" si="1"/>
        <v>5</v>
      </c>
      <c r="J19" s="5">
        <v>45</v>
      </c>
      <c r="K19" s="5">
        <v>45</v>
      </c>
    </row>
    <row r="20" spans="2:11" x14ac:dyDescent="0.2">
      <c r="B20" s="1" t="s">
        <v>245</v>
      </c>
      <c r="C20" s="28">
        <v>78</v>
      </c>
      <c r="D20" s="5">
        <v>1</v>
      </c>
      <c r="E20" s="5">
        <v>35</v>
      </c>
      <c r="F20" s="5">
        <v>35</v>
      </c>
      <c r="G20" s="5">
        <v>6</v>
      </c>
      <c r="H20" s="35" t="s">
        <v>52</v>
      </c>
      <c r="I20" s="43">
        <f t="shared" si="1"/>
        <v>1</v>
      </c>
      <c r="J20" s="5">
        <v>32</v>
      </c>
      <c r="K20" s="5">
        <v>31</v>
      </c>
    </row>
    <row r="21" spans="2:11" x14ac:dyDescent="0.2">
      <c r="C21" s="10"/>
    </row>
    <row r="22" spans="2:11" x14ac:dyDescent="0.2">
      <c r="B22" s="1" t="s">
        <v>246</v>
      </c>
      <c r="C22" s="28">
        <v>18</v>
      </c>
      <c r="D22" s="35" t="s">
        <v>52</v>
      </c>
      <c r="E22" s="5">
        <v>8</v>
      </c>
      <c r="F22" s="35" t="s">
        <v>52</v>
      </c>
      <c r="G22" s="5">
        <v>9</v>
      </c>
      <c r="H22" s="35" t="s">
        <v>52</v>
      </c>
      <c r="I22" s="43">
        <f>C22-SUM(D22:H22)</f>
        <v>1</v>
      </c>
      <c r="J22" s="5">
        <v>6</v>
      </c>
      <c r="K22" s="5">
        <v>6</v>
      </c>
    </row>
    <row r="23" spans="2:11" x14ac:dyDescent="0.2">
      <c r="B23" s="1" t="s">
        <v>247</v>
      </c>
      <c r="C23" s="28">
        <v>21</v>
      </c>
      <c r="D23" s="35" t="s">
        <v>52</v>
      </c>
      <c r="E23" s="5">
        <v>2</v>
      </c>
      <c r="F23" s="5">
        <v>17</v>
      </c>
      <c r="G23" s="35" t="s">
        <v>52</v>
      </c>
      <c r="H23" s="35" t="s">
        <v>52</v>
      </c>
      <c r="I23" s="43">
        <f>C23-SUM(D23:H23)</f>
        <v>2</v>
      </c>
      <c r="J23" s="5">
        <v>2</v>
      </c>
      <c r="K23" s="5">
        <v>2</v>
      </c>
    </row>
    <row r="24" spans="2:11" x14ac:dyDescent="0.2">
      <c r="B24" s="1" t="s">
        <v>248</v>
      </c>
      <c r="C24" s="28">
        <v>4</v>
      </c>
      <c r="D24" s="35" t="s">
        <v>52</v>
      </c>
      <c r="E24" s="5">
        <v>3</v>
      </c>
      <c r="F24" s="35" t="s">
        <v>52</v>
      </c>
      <c r="G24" s="5">
        <v>1</v>
      </c>
      <c r="H24" s="35" t="s">
        <v>52</v>
      </c>
      <c r="I24" s="44" t="s">
        <v>52</v>
      </c>
      <c r="J24" s="5">
        <v>1</v>
      </c>
      <c r="K24" s="5">
        <v>1</v>
      </c>
    </row>
    <row r="25" spans="2:11" x14ac:dyDescent="0.2">
      <c r="C25" s="10"/>
    </row>
    <row r="26" spans="2:11" x14ac:dyDescent="0.2">
      <c r="B26" s="1" t="s">
        <v>249</v>
      </c>
      <c r="C26" s="28">
        <v>29</v>
      </c>
      <c r="D26" s="5">
        <v>1</v>
      </c>
      <c r="E26" s="5">
        <v>12</v>
      </c>
      <c r="F26" s="5">
        <v>16</v>
      </c>
      <c r="G26" s="35" t="s">
        <v>52</v>
      </c>
      <c r="H26" s="35" t="s">
        <v>52</v>
      </c>
      <c r="I26" s="44" t="s">
        <v>52</v>
      </c>
      <c r="J26" s="5">
        <v>9</v>
      </c>
      <c r="K26" s="5">
        <v>8</v>
      </c>
    </row>
    <row r="27" spans="2:11" x14ac:dyDescent="0.2">
      <c r="B27" s="1" t="s">
        <v>250</v>
      </c>
      <c r="C27" s="28">
        <v>15</v>
      </c>
      <c r="D27" s="35" t="s">
        <v>52</v>
      </c>
      <c r="E27" s="5">
        <v>13</v>
      </c>
      <c r="F27" s="35" t="s">
        <v>52</v>
      </c>
      <c r="G27" s="5">
        <v>2</v>
      </c>
      <c r="H27" s="35" t="s">
        <v>52</v>
      </c>
      <c r="I27" s="44" t="s">
        <v>52</v>
      </c>
      <c r="J27" s="5">
        <v>8</v>
      </c>
      <c r="K27" s="5">
        <v>7</v>
      </c>
    </row>
    <row r="28" spans="2:11" x14ac:dyDescent="0.2">
      <c r="B28" s="1" t="s">
        <v>251</v>
      </c>
      <c r="C28" s="28">
        <v>12</v>
      </c>
      <c r="D28" s="5">
        <v>1</v>
      </c>
      <c r="E28" s="5">
        <v>6</v>
      </c>
      <c r="F28" s="5">
        <v>4</v>
      </c>
      <c r="G28" s="5">
        <v>1</v>
      </c>
      <c r="H28" s="35" t="s">
        <v>52</v>
      </c>
      <c r="I28" s="44" t="s">
        <v>52</v>
      </c>
      <c r="J28" s="5">
        <v>5</v>
      </c>
      <c r="K28" s="5">
        <v>5</v>
      </c>
    </row>
    <row r="29" spans="2:11" x14ac:dyDescent="0.2">
      <c r="B29" s="1" t="s">
        <v>252</v>
      </c>
      <c r="C29" s="28">
        <v>9</v>
      </c>
      <c r="D29" s="35" t="s">
        <v>52</v>
      </c>
      <c r="E29" s="5">
        <v>8</v>
      </c>
      <c r="F29" s="5">
        <v>1</v>
      </c>
      <c r="G29" s="35" t="s">
        <v>52</v>
      </c>
      <c r="H29" s="35" t="s">
        <v>52</v>
      </c>
      <c r="I29" s="44" t="s">
        <v>52</v>
      </c>
      <c r="J29" s="5">
        <v>3</v>
      </c>
      <c r="K29" s="5">
        <v>3</v>
      </c>
    </row>
    <row r="30" spans="2:11" x14ac:dyDescent="0.2">
      <c r="B30" s="1" t="s">
        <v>253</v>
      </c>
      <c r="C30" s="28">
        <v>14</v>
      </c>
      <c r="D30" s="35" t="s">
        <v>52</v>
      </c>
      <c r="E30" s="5">
        <v>14</v>
      </c>
      <c r="F30" s="35" t="s">
        <v>52</v>
      </c>
      <c r="G30" s="35" t="s">
        <v>52</v>
      </c>
      <c r="H30" s="35" t="s">
        <v>52</v>
      </c>
      <c r="I30" s="44" t="s">
        <v>52</v>
      </c>
      <c r="J30" s="5">
        <v>15</v>
      </c>
      <c r="K30" s="5">
        <v>14</v>
      </c>
    </row>
    <row r="31" spans="2:11" x14ac:dyDescent="0.2">
      <c r="B31" s="1" t="s">
        <v>254</v>
      </c>
      <c r="C31" s="28">
        <v>51</v>
      </c>
      <c r="D31" s="5">
        <v>2</v>
      </c>
      <c r="E31" s="5">
        <v>30</v>
      </c>
      <c r="F31" s="5">
        <v>14</v>
      </c>
      <c r="G31" s="5">
        <v>3</v>
      </c>
      <c r="H31" s="35" t="s">
        <v>52</v>
      </c>
      <c r="I31" s="43">
        <f>C31-SUM(D31:H31)</f>
        <v>2</v>
      </c>
      <c r="J31" s="5">
        <v>21</v>
      </c>
      <c r="K31" s="5">
        <v>21</v>
      </c>
    </row>
    <row r="32" spans="2:11" x14ac:dyDescent="0.2">
      <c r="C32" s="10"/>
    </row>
    <row r="33" spans="2:11" x14ac:dyDescent="0.2">
      <c r="B33" s="1" t="s">
        <v>255</v>
      </c>
      <c r="C33" s="28">
        <v>41</v>
      </c>
      <c r="D33" s="35" t="s">
        <v>52</v>
      </c>
      <c r="E33" s="5">
        <v>11</v>
      </c>
      <c r="F33" s="35" t="s">
        <v>52</v>
      </c>
      <c r="G33" s="35" t="s">
        <v>52</v>
      </c>
      <c r="H33" s="5">
        <v>30</v>
      </c>
      <c r="I33" s="44" t="s">
        <v>52</v>
      </c>
      <c r="J33" s="5">
        <v>12</v>
      </c>
      <c r="K33" s="5">
        <v>11</v>
      </c>
    </row>
    <row r="34" spans="2:11" x14ac:dyDescent="0.2">
      <c r="B34" s="1" t="s">
        <v>256</v>
      </c>
      <c r="C34" s="28">
        <v>21</v>
      </c>
      <c r="D34" s="5">
        <v>1</v>
      </c>
      <c r="E34" s="5">
        <v>14</v>
      </c>
      <c r="F34" s="5">
        <v>1</v>
      </c>
      <c r="G34" s="5">
        <v>1</v>
      </c>
      <c r="H34" s="5">
        <v>1</v>
      </c>
      <c r="I34" s="43">
        <f>C34-SUM(D34:H34)</f>
        <v>3</v>
      </c>
      <c r="J34" s="5">
        <v>7</v>
      </c>
      <c r="K34" s="5">
        <v>7</v>
      </c>
    </row>
    <row r="35" spans="2:11" x14ac:dyDescent="0.2">
      <c r="B35" s="1" t="s">
        <v>257</v>
      </c>
      <c r="C35" s="28">
        <v>6</v>
      </c>
      <c r="D35" s="5">
        <v>1</v>
      </c>
      <c r="E35" s="5">
        <v>2</v>
      </c>
      <c r="F35" s="5">
        <v>2</v>
      </c>
      <c r="G35" s="5">
        <v>1</v>
      </c>
      <c r="H35" s="35" t="s">
        <v>52</v>
      </c>
      <c r="I35" s="44" t="s">
        <v>52</v>
      </c>
      <c r="J35" s="5">
        <v>1</v>
      </c>
      <c r="K35" s="5">
        <v>1</v>
      </c>
    </row>
    <row r="36" spans="2:11" x14ac:dyDescent="0.2">
      <c r="B36" s="1" t="s">
        <v>258</v>
      </c>
      <c r="C36" s="28">
        <v>10</v>
      </c>
      <c r="D36" s="35" t="s">
        <v>52</v>
      </c>
      <c r="E36" s="5">
        <v>2</v>
      </c>
      <c r="F36" s="5">
        <v>7</v>
      </c>
      <c r="G36" s="5">
        <v>1</v>
      </c>
      <c r="H36" s="35" t="s">
        <v>52</v>
      </c>
      <c r="I36" s="44" t="s">
        <v>52</v>
      </c>
      <c r="J36" s="5">
        <v>4</v>
      </c>
      <c r="K36" s="5">
        <v>4</v>
      </c>
    </row>
    <row r="37" spans="2:11" x14ac:dyDescent="0.2">
      <c r="B37" s="1" t="s">
        <v>259</v>
      </c>
      <c r="C37" s="32" t="s">
        <v>52</v>
      </c>
      <c r="D37" s="35" t="s">
        <v>52</v>
      </c>
      <c r="E37" s="35" t="s">
        <v>52</v>
      </c>
      <c r="F37" s="35" t="s">
        <v>52</v>
      </c>
      <c r="G37" s="35" t="s">
        <v>52</v>
      </c>
      <c r="H37" s="35" t="s">
        <v>52</v>
      </c>
      <c r="I37" s="44" t="s">
        <v>52</v>
      </c>
      <c r="J37" s="35" t="s">
        <v>52</v>
      </c>
      <c r="K37" s="35" t="s">
        <v>52</v>
      </c>
    </row>
    <row r="38" spans="2:11" x14ac:dyDescent="0.2">
      <c r="C38" s="10"/>
    </row>
    <row r="39" spans="2:11" x14ac:dyDescent="0.2">
      <c r="B39" s="1" t="s">
        <v>260</v>
      </c>
      <c r="C39" s="28">
        <v>30</v>
      </c>
      <c r="D39" s="35" t="s">
        <v>52</v>
      </c>
      <c r="E39" s="5">
        <v>12</v>
      </c>
      <c r="F39" s="5">
        <v>17</v>
      </c>
      <c r="G39" s="35" t="s">
        <v>52</v>
      </c>
      <c r="H39" s="35" t="s">
        <v>52</v>
      </c>
      <c r="I39" s="43">
        <f>C39-SUM(D39:H39)</f>
        <v>1</v>
      </c>
      <c r="J39" s="5">
        <v>10</v>
      </c>
      <c r="K39" s="5">
        <v>10</v>
      </c>
    </row>
    <row r="40" spans="2:11" x14ac:dyDescent="0.2">
      <c r="B40" s="1" t="s">
        <v>261</v>
      </c>
      <c r="C40" s="28">
        <v>3</v>
      </c>
      <c r="D40" s="35" t="s">
        <v>52</v>
      </c>
      <c r="E40" s="5">
        <v>3</v>
      </c>
      <c r="F40" s="35" t="s">
        <v>52</v>
      </c>
      <c r="G40" s="35" t="s">
        <v>52</v>
      </c>
      <c r="H40" s="35" t="s">
        <v>52</v>
      </c>
      <c r="I40" s="44" t="s">
        <v>52</v>
      </c>
      <c r="J40" s="5">
        <v>4</v>
      </c>
      <c r="K40" s="5">
        <v>4</v>
      </c>
    </row>
    <row r="41" spans="2:11" x14ac:dyDescent="0.2">
      <c r="B41" s="1" t="s">
        <v>262</v>
      </c>
      <c r="C41" s="28">
        <v>35</v>
      </c>
      <c r="D41" s="5">
        <v>2</v>
      </c>
      <c r="E41" s="5">
        <v>13</v>
      </c>
      <c r="F41" s="5">
        <v>15</v>
      </c>
      <c r="G41" s="5">
        <v>3</v>
      </c>
      <c r="H41" s="35" t="s">
        <v>52</v>
      </c>
      <c r="I41" s="43">
        <f>C41-SUM(D41:H41)</f>
        <v>2</v>
      </c>
      <c r="J41" s="5">
        <v>12</v>
      </c>
      <c r="K41" s="5">
        <v>12</v>
      </c>
    </row>
    <row r="42" spans="2:11" x14ac:dyDescent="0.2">
      <c r="B42" s="1" t="s">
        <v>263</v>
      </c>
      <c r="C42" s="28">
        <v>6</v>
      </c>
      <c r="D42" s="5">
        <v>1</v>
      </c>
      <c r="E42" s="5">
        <v>4</v>
      </c>
      <c r="F42" s="5">
        <v>1</v>
      </c>
      <c r="G42" s="35" t="s">
        <v>52</v>
      </c>
      <c r="H42" s="35" t="s">
        <v>52</v>
      </c>
      <c r="I42" s="44" t="s">
        <v>52</v>
      </c>
      <c r="J42" s="5">
        <v>3</v>
      </c>
      <c r="K42" s="5">
        <v>3</v>
      </c>
    </row>
    <row r="43" spans="2:11" x14ac:dyDescent="0.2">
      <c r="B43" s="1" t="s">
        <v>264</v>
      </c>
      <c r="C43" s="28">
        <v>4</v>
      </c>
      <c r="D43" s="35" t="s">
        <v>52</v>
      </c>
      <c r="E43" s="5">
        <v>3</v>
      </c>
      <c r="F43" s="35" t="s">
        <v>52</v>
      </c>
      <c r="G43" s="5">
        <v>1</v>
      </c>
      <c r="H43" s="35" t="s">
        <v>52</v>
      </c>
      <c r="I43" s="44" t="s">
        <v>52</v>
      </c>
      <c r="J43" s="5">
        <v>3</v>
      </c>
      <c r="K43" s="5">
        <v>3</v>
      </c>
    </row>
    <row r="44" spans="2:11" x14ac:dyDescent="0.2">
      <c r="C44" s="10"/>
    </row>
    <row r="45" spans="2:11" x14ac:dyDescent="0.2">
      <c r="B45" s="1" t="s">
        <v>265</v>
      </c>
      <c r="C45" s="28">
        <v>22</v>
      </c>
      <c r="D45" s="5">
        <v>1</v>
      </c>
      <c r="E45" s="5">
        <v>5</v>
      </c>
      <c r="F45" s="5">
        <v>16</v>
      </c>
      <c r="G45" s="35" t="s">
        <v>52</v>
      </c>
      <c r="H45" s="35" t="s">
        <v>52</v>
      </c>
      <c r="I45" s="44" t="s">
        <v>52</v>
      </c>
      <c r="J45" s="5">
        <v>2</v>
      </c>
      <c r="K45" s="5">
        <v>2</v>
      </c>
    </row>
    <row r="46" spans="2:11" x14ac:dyDescent="0.2">
      <c r="B46" s="1" t="s">
        <v>266</v>
      </c>
      <c r="C46" s="28">
        <v>4</v>
      </c>
      <c r="D46" s="35" t="s">
        <v>52</v>
      </c>
      <c r="E46" s="5">
        <v>3</v>
      </c>
      <c r="F46" s="35" t="s">
        <v>52</v>
      </c>
      <c r="G46" s="5">
        <v>1</v>
      </c>
      <c r="H46" s="35" t="s">
        <v>52</v>
      </c>
      <c r="I46" s="44" t="s">
        <v>52</v>
      </c>
      <c r="J46" s="5">
        <v>2</v>
      </c>
      <c r="K46" s="5">
        <v>2</v>
      </c>
    </row>
    <row r="47" spans="2:11" x14ac:dyDescent="0.2">
      <c r="B47" s="1" t="s">
        <v>267</v>
      </c>
      <c r="C47" s="28">
        <v>4</v>
      </c>
      <c r="D47" s="35" t="s">
        <v>52</v>
      </c>
      <c r="E47" s="5">
        <v>2</v>
      </c>
      <c r="F47" s="35" t="s">
        <v>52</v>
      </c>
      <c r="G47" s="5">
        <v>2</v>
      </c>
      <c r="H47" s="35" t="s">
        <v>52</v>
      </c>
      <c r="I47" s="44" t="s">
        <v>52</v>
      </c>
      <c r="J47" s="5">
        <v>3</v>
      </c>
      <c r="K47" s="5">
        <v>3</v>
      </c>
    </row>
    <row r="48" spans="2:11" x14ac:dyDescent="0.2">
      <c r="B48" s="1" t="s">
        <v>268</v>
      </c>
      <c r="C48" s="28">
        <v>1</v>
      </c>
      <c r="D48" s="35" t="s">
        <v>52</v>
      </c>
      <c r="E48" s="5">
        <v>1</v>
      </c>
      <c r="F48" s="35" t="s">
        <v>52</v>
      </c>
      <c r="G48" s="35" t="s">
        <v>52</v>
      </c>
      <c r="H48" s="35" t="s">
        <v>52</v>
      </c>
      <c r="I48" s="44" t="s">
        <v>52</v>
      </c>
      <c r="J48" s="5">
        <v>2</v>
      </c>
      <c r="K48" s="5">
        <v>2</v>
      </c>
    </row>
    <row r="49" spans="2:11" x14ac:dyDescent="0.2">
      <c r="B49" s="1" t="s">
        <v>269</v>
      </c>
      <c r="C49" s="28">
        <v>3</v>
      </c>
      <c r="D49" s="35" t="s">
        <v>52</v>
      </c>
      <c r="E49" s="5">
        <v>2</v>
      </c>
      <c r="F49" s="35" t="s">
        <v>52</v>
      </c>
      <c r="G49" s="35" t="s">
        <v>52</v>
      </c>
      <c r="H49" s="35" t="s">
        <v>52</v>
      </c>
      <c r="I49" s="43">
        <f>C49-SUM(D49:H49)</f>
        <v>1</v>
      </c>
      <c r="J49" s="35" t="s">
        <v>52</v>
      </c>
      <c r="K49" s="35" t="s">
        <v>52</v>
      </c>
    </row>
    <row r="50" spans="2:11" x14ac:dyDescent="0.2">
      <c r="B50" s="1" t="s">
        <v>270</v>
      </c>
      <c r="C50" s="28">
        <v>2</v>
      </c>
      <c r="D50" s="35" t="s">
        <v>52</v>
      </c>
      <c r="E50" s="5">
        <v>1</v>
      </c>
      <c r="F50" s="35" t="s">
        <v>52</v>
      </c>
      <c r="G50" s="5">
        <v>1</v>
      </c>
      <c r="H50" s="35" t="s">
        <v>52</v>
      </c>
      <c r="I50" s="44" t="s">
        <v>52</v>
      </c>
      <c r="J50" s="35" t="s">
        <v>52</v>
      </c>
      <c r="K50" s="35" t="s">
        <v>52</v>
      </c>
    </row>
    <row r="51" spans="2:11" x14ac:dyDescent="0.2">
      <c r="B51" s="1" t="s">
        <v>271</v>
      </c>
      <c r="C51" s="28">
        <v>3</v>
      </c>
      <c r="D51" s="35" t="s">
        <v>52</v>
      </c>
      <c r="E51" s="5">
        <v>2</v>
      </c>
      <c r="F51" s="35" t="s">
        <v>52</v>
      </c>
      <c r="G51" s="5">
        <v>1</v>
      </c>
      <c r="H51" s="35" t="s">
        <v>52</v>
      </c>
      <c r="I51" s="44" t="s">
        <v>52</v>
      </c>
      <c r="J51" s="5">
        <v>1</v>
      </c>
      <c r="K51" s="5">
        <v>1</v>
      </c>
    </row>
    <row r="52" spans="2:11" x14ac:dyDescent="0.2">
      <c r="B52" s="1" t="s">
        <v>272</v>
      </c>
      <c r="C52" s="28">
        <v>3</v>
      </c>
      <c r="D52" s="35" t="s">
        <v>52</v>
      </c>
      <c r="E52" s="5">
        <v>2</v>
      </c>
      <c r="F52" s="35" t="s">
        <v>52</v>
      </c>
      <c r="G52" s="5">
        <v>1</v>
      </c>
      <c r="H52" s="35" t="s">
        <v>52</v>
      </c>
      <c r="I52" s="44" t="s">
        <v>52</v>
      </c>
      <c r="J52" s="35" t="s">
        <v>52</v>
      </c>
      <c r="K52" s="35" t="s">
        <v>52</v>
      </c>
    </row>
    <row r="53" spans="2:11" x14ac:dyDescent="0.2">
      <c r="B53" s="1" t="s">
        <v>273</v>
      </c>
      <c r="C53" s="28">
        <v>6</v>
      </c>
      <c r="D53" s="35" t="s">
        <v>52</v>
      </c>
      <c r="E53" s="5">
        <v>6</v>
      </c>
      <c r="F53" s="35" t="s">
        <v>52</v>
      </c>
      <c r="G53" s="35" t="s">
        <v>52</v>
      </c>
      <c r="H53" s="35" t="s">
        <v>52</v>
      </c>
      <c r="I53" s="44" t="s">
        <v>52</v>
      </c>
      <c r="J53" s="5">
        <v>7</v>
      </c>
      <c r="K53" s="5">
        <v>6</v>
      </c>
    </row>
    <row r="54" spans="2:11" x14ac:dyDescent="0.2">
      <c r="B54" s="1" t="s">
        <v>274</v>
      </c>
      <c r="C54" s="28">
        <v>4</v>
      </c>
      <c r="D54" s="35" t="s">
        <v>52</v>
      </c>
      <c r="E54" s="5">
        <v>4</v>
      </c>
      <c r="F54" s="35" t="s">
        <v>52</v>
      </c>
      <c r="G54" s="35" t="s">
        <v>52</v>
      </c>
      <c r="H54" s="35" t="s">
        <v>52</v>
      </c>
      <c r="I54" s="44" t="s">
        <v>52</v>
      </c>
      <c r="J54" s="5">
        <v>3</v>
      </c>
      <c r="K54" s="5">
        <v>3</v>
      </c>
    </row>
    <row r="55" spans="2:11" x14ac:dyDescent="0.2">
      <c r="C55" s="10"/>
    </row>
    <row r="56" spans="2:11" x14ac:dyDescent="0.2">
      <c r="B56" s="1" t="s">
        <v>275</v>
      </c>
      <c r="C56" s="28">
        <v>18</v>
      </c>
      <c r="D56" s="35" t="s">
        <v>52</v>
      </c>
      <c r="E56" s="5">
        <v>5</v>
      </c>
      <c r="F56" s="5">
        <v>10</v>
      </c>
      <c r="G56" s="5">
        <v>2</v>
      </c>
      <c r="H56" s="35" t="s">
        <v>52</v>
      </c>
      <c r="I56" s="43">
        <f>C56-SUM(D56:H56)</f>
        <v>1</v>
      </c>
      <c r="J56" s="5">
        <v>9</v>
      </c>
      <c r="K56" s="5">
        <v>9</v>
      </c>
    </row>
    <row r="57" spans="2:11" x14ac:dyDescent="0.2">
      <c r="B57" s="1" t="s">
        <v>276</v>
      </c>
      <c r="C57" s="28">
        <v>4</v>
      </c>
      <c r="D57" s="35" t="s">
        <v>52</v>
      </c>
      <c r="E57" s="5">
        <v>4</v>
      </c>
      <c r="F57" s="35" t="s">
        <v>52</v>
      </c>
      <c r="G57" s="35" t="s">
        <v>52</v>
      </c>
      <c r="H57" s="35" t="s">
        <v>52</v>
      </c>
      <c r="I57" s="44" t="s">
        <v>52</v>
      </c>
      <c r="J57" s="5">
        <v>1</v>
      </c>
      <c r="K57" s="5">
        <v>1</v>
      </c>
    </row>
    <row r="58" spans="2:11" x14ac:dyDescent="0.2">
      <c r="B58" s="1" t="s">
        <v>277</v>
      </c>
      <c r="C58" s="28">
        <v>2</v>
      </c>
      <c r="D58" s="35" t="s">
        <v>52</v>
      </c>
      <c r="E58" s="5">
        <v>1</v>
      </c>
      <c r="F58" s="35" t="s">
        <v>52</v>
      </c>
      <c r="G58" s="5">
        <v>1</v>
      </c>
      <c r="H58" s="35" t="s">
        <v>52</v>
      </c>
      <c r="I58" s="44" t="s">
        <v>52</v>
      </c>
      <c r="J58" s="5">
        <v>2</v>
      </c>
      <c r="K58" s="5">
        <v>2</v>
      </c>
    </row>
    <row r="59" spans="2:11" x14ac:dyDescent="0.2">
      <c r="B59" s="1" t="s">
        <v>278</v>
      </c>
      <c r="C59" s="28">
        <v>12</v>
      </c>
      <c r="D59" s="35" t="s">
        <v>52</v>
      </c>
      <c r="E59" s="5">
        <v>6</v>
      </c>
      <c r="F59" s="5">
        <v>2</v>
      </c>
      <c r="G59" s="5">
        <v>4</v>
      </c>
      <c r="H59" s="35" t="s">
        <v>52</v>
      </c>
      <c r="I59" s="44" t="s">
        <v>52</v>
      </c>
      <c r="J59" s="5">
        <v>9</v>
      </c>
      <c r="K59" s="5">
        <v>9</v>
      </c>
    </row>
    <row r="60" spans="2:11" x14ac:dyDescent="0.2">
      <c r="B60" s="1" t="s">
        <v>279</v>
      </c>
      <c r="C60" s="28">
        <v>4</v>
      </c>
      <c r="D60" s="35" t="s">
        <v>52</v>
      </c>
      <c r="E60" s="5">
        <v>2</v>
      </c>
      <c r="F60" s="35" t="s">
        <v>52</v>
      </c>
      <c r="G60" s="5">
        <v>2</v>
      </c>
      <c r="H60" s="35" t="s">
        <v>52</v>
      </c>
      <c r="I60" s="44" t="s">
        <v>52</v>
      </c>
      <c r="J60" s="5">
        <v>2</v>
      </c>
      <c r="K60" s="5">
        <v>2</v>
      </c>
    </row>
    <row r="61" spans="2:11" x14ac:dyDescent="0.2">
      <c r="B61" s="1" t="s">
        <v>280</v>
      </c>
      <c r="C61" s="28">
        <v>9</v>
      </c>
      <c r="D61" s="35" t="s">
        <v>52</v>
      </c>
      <c r="E61" s="5">
        <v>3</v>
      </c>
      <c r="F61" s="5">
        <v>6</v>
      </c>
      <c r="G61" s="35" t="s">
        <v>52</v>
      </c>
      <c r="H61" s="35" t="s">
        <v>52</v>
      </c>
      <c r="I61" s="44" t="s">
        <v>52</v>
      </c>
      <c r="J61" s="5">
        <v>3</v>
      </c>
      <c r="K61" s="5">
        <v>3</v>
      </c>
    </row>
    <row r="62" spans="2:11" x14ac:dyDescent="0.2">
      <c r="B62" s="1" t="s">
        <v>281</v>
      </c>
      <c r="C62" s="28">
        <v>35</v>
      </c>
      <c r="D62" s="5">
        <v>1</v>
      </c>
      <c r="E62" s="5">
        <v>9</v>
      </c>
      <c r="F62" s="5">
        <v>24</v>
      </c>
      <c r="G62" s="5">
        <v>1</v>
      </c>
      <c r="H62" s="35" t="s">
        <v>52</v>
      </c>
      <c r="I62" s="44" t="s">
        <v>52</v>
      </c>
      <c r="J62" s="5">
        <v>9</v>
      </c>
      <c r="K62" s="5">
        <v>8</v>
      </c>
    </row>
    <row r="63" spans="2:11" x14ac:dyDescent="0.2">
      <c r="C63" s="10"/>
    </row>
    <row r="64" spans="2:11" x14ac:dyDescent="0.2">
      <c r="B64" s="1" t="s">
        <v>282</v>
      </c>
      <c r="C64" s="28">
        <v>32</v>
      </c>
      <c r="D64" s="5">
        <v>1</v>
      </c>
      <c r="E64" s="5">
        <v>11</v>
      </c>
      <c r="F64" s="5">
        <v>18</v>
      </c>
      <c r="G64" s="5">
        <v>1</v>
      </c>
      <c r="H64" s="35" t="s">
        <v>52</v>
      </c>
      <c r="I64" s="43">
        <f>C64-SUM(D64:H64)</f>
        <v>1</v>
      </c>
      <c r="J64" s="5">
        <v>16</v>
      </c>
      <c r="K64" s="5">
        <v>16</v>
      </c>
    </row>
    <row r="65" spans="1:12" x14ac:dyDescent="0.2">
      <c r="B65" s="1" t="s">
        <v>283</v>
      </c>
      <c r="C65" s="28">
        <v>3</v>
      </c>
      <c r="D65" s="35" t="s">
        <v>52</v>
      </c>
      <c r="E65" s="5">
        <v>3</v>
      </c>
      <c r="F65" s="35" t="s">
        <v>52</v>
      </c>
      <c r="G65" s="35" t="s">
        <v>52</v>
      </c>
      <c r="H65" s="35" t="s">
        <v>52</v>
      </c>
      <c r="I65" s="44" t="s">
        <v>52</v>
      </c>
      <c r="J65" s="5">
        <v>2</v>
      </c>
      <c r="K65" s="5">
        <v>2</v>
      </c>
    </row>
    <row r="66" spans="1:12" x14ac:dyDescent="0.2">
      <c r="B66" s="1" t="s">
        <v>284</v>
      </c>
      <c r="C66" s="28">
        <v>12</v>
      </c>
      <c r="D66" s="35" t="s">
        <v>52</v>
      </c>
      <c r="E66" s="5">
        <v>2</v>
      </c>
      <c r="F66" s="5">
        <v>9</v>
      </c>
      <c r="G66" s="35" t="s">
        <v>52</v>
      </c>
      <c r="H66" s="35" t="s">
        <v>52</v>
      </c>
      <c r="I66" s="43">
        <f>C66-SUM(D66:H66)</f>
        <v>1</v>
      </c>
      <c r="J66" s="5">
        <v>4</v>
      </c>
      <c r="K66" s="5">
        <v>4</v>
      </c>
    </row>
    <row r="67" spans="1:12" x14ac:dyDescent="0.2">
      <c r="B67" s="1" t="s">
        <v>285</v>
      </c>
      <c r="C67" s="28">
        <v>4</v>
      </c>
      <c r="D67" s="35" t="s">
        <v>52</v>
      </c>
      <c r="E67" s="5">
        <v>1</v>
      </c>
      <c r="F67" s="35" t="s">
        <v>52</v>
      </c>
      <c r="G67" s="5">
        <v>3</v>
      </c>
      <c r="H67" s="35" t="s">
        <v>52</v>
      </c>
      <c r="I67" s="44" t="s">
        <v>52</v>
      </c>
      <c r="J67" s="5">
        <v>1</v>
      </c>
      <c r="K67" s="5">
        <v>1</v>
      </c>
    </row>
    <row r="68" spans="1:12" x14ac:dyDescent="0.2">
      <c r="B68" s="1" t="s">
        <v>286</v>
      </c>
      <c r="C68" s="28">
        <v>2</v>
      </c>
      <c r="D68" s="35" t="s">
        <v>52</v>
      </c>
      <c r="E68" s="5">
        <v>1</v>
      </c>
      <c r="F68" s="35" t="s">
        <v>52</v>
      </c>
      <c r="G68" s="5">
        <v>1</v>
      </c>
      <c r="H68" s="35" t="s">
        <v>52</v>
      </c>
      <c r="I68" s="44" t="s">
        <v>52</v>
      </c>
      <c r="J68" s="5">
        <v>1</v>
      </c>
      <c r="K68" s="5">
        <v>1</v>
      </c>
    </row>
    <row r="69" spans="1:12" x14ac:dyDescent="0.2">
      <c r="B69" s="1" t="s">
        <v>287</v>
      </c>
      <c r="C69" s="28">
        <v>3</v>
      </c>
      <c r="D69" s="35" t="s">
        <v>52</v>
      </c>
      <c r="E69" s="5">
        <v>1</v>
      </c>
      <c r="F69" s="35" t="s">
        <v>52</v>
      </c>
      <c r="G69" s="5">
        <v>2</v>
      </c>
      <c r="H69" s="35" t="s">
        <v>52</v>
      </c>
      <c r="I69" s="44" t="s">
        <v>52</v>
      </c>
      <c r="J69" s="5">
        <v>2</v>
      </c>
      <c r="K69" s="5">
        <v>2</v>
      </c>
    </row>
    <row r="70" spans="1:12" x14ac:dyDescent="0.2">
      <c r="B70" s="1" t="s">
        <v>288</v>
      </c>
      <c r="C70" s="28">
        <v>1</v>
      </c>
      <c r="D70" s="35" t="s">
        <v>52</v>
      </c>
      <c r="E70" s="35" t="s">
        <v>52</v>
      </c>
      <c r="F70" s="35" t="s">
        <v>52</v>
      </c>
      <c r="G70" s="5">
        <v>1</v>
      </c>
      <c r="H70" s="35" t="s">
        <v>52</v>
      </c>
      <c r="I70" s="44" t="s">
        <v>52</v>
      </c>
      <c r="J70" s="35" t="s">
        <v>52</v>
      </c>
      <c r="K70" s="35" t="s">
        <v>52</v>
      </c>
    </row>
    <row r="71" spans="1:12" ht="18" thickBot="1" x14ac:dyDescent="0.25">
      <c r="B71" s="6"/>
      <c r="C71" s="23"/>
      <c r="D71" s="6"/>
      <c r="E71" s="6"/>
      <c r="F71" s="6"/>
      <c r="G71" s="6"/>
      <c r="H71" s="6"/>
      <c r="I71" s="6"/>
      <c r="J71" s="6"/>
      <c r="K71" s="6"/>
    </row>
    <row r="72" spans="1:12" x14ac:dyDescent="0.2">
      <c r="C72" s="1" t="s">
        <v>55</v>
      </c>
    </row>
    <row r="73" spans="1:12" x14ac:dyDescent="0.2">
      <c r="A73" s="24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2" x14ac:dyDescent="0.2">
      <c r="L74" s="3"/>
    </row>
    <row r="75" spans="1:12" x14ac:dyDescent="0.2">
      <c r="L75" s="3"/>
    </row>
    <row r="76" spans="1:12" x14ac:dyDescent="0.2">
      <c r="L76" s="3"/>
    </row>
    <row r="77" spans="1:12" x14ac:dyDescent="0.2">
      <c r="L77" s="3"/>
    </row>
    <row r="78" spans="1:12" x14ac:dyDescent="0.2">
      <c r="L78" s="3"/>
    </row>
    <row r="79" spans="1:12" x14ac:dyDescent="0.2">
      <c r="L79" s="3"/>
    </row>
    <row r="80" spans="1:12" x14ac:dyDescent="0.2">
      <c r="L80" s="3"/>
    </row>
    <row r="81" spans="12:12" x14ac:dyDescent="0.2">
      <c r="L81" s="3"/>
    </row>
    <row r="82" spans="12:12" x14ac:dyDescent="0.2">
      <c r="L82" s="3"/>
    </row>
    <row r="83" spans="12:12" x14ac:dyDescent="0.2">
      <c r="L83" s="3"/>
    </row>
    <row r="84" spans="12:12" x14ac:dyDescent="0.2">
      <c r="L84" s="3"/>
    </row>
    <row r="85" spans="12:12" x14ac:dyDescent="0.2">
      <c r="L85" s="3"/>
    </row>
    <row r="86" spans="12:12" x14ac:dyDescent="0.2">
      <c r="L86" s="3"/>
    </row>
    <row r="87" spans="12:12" x14ac:dyDescent="0.2">
      <c r="L87" s="3"/>
    </row>
    <row r="88" spans="12:12" x14ac:dyDescent="0.2">
      <c r="L88" s="3"/>
    </row>
    <row r="89" spans="12:12" x14ac:dyDescent="0.2">
      <c r="L89" s="3"/>
    </row>
    <row r="90" spans="12:12" x14ac:dyDescent="0.2">
      <c r="L90" s="3"/>
    </row>
    <row r="91" spans="12:12" x14ac:dyDescent="0.2">
      <c r="L91" s="3"/>
    </row>
    <row r="92" spans="12:12" x14ac:dyDescent="0.2">
      <c r="L92" s="3"/>
    </row>
    <row r="93" spans="12:12" x14ac:dyDescent="0.2">
      <c r="L93" s="3"/>
    </row>
    <row r="94" spans="12:12" x14ac:dyDescent="0.2">
      <c r="L94" s="3"/>
    </row>
    <row r="95" spans="12:12" x14ac:dyDescent="0.2">
      <c r="L95" s="3"/>
    </row>
    <row r="96" spans="12:12" x14ac:dyDescent="0.2">
      <c r="L96" s="3"/>
    </row>
    <row r="97" spans="12:12" x14ac:dyDescent="0.2">
      <c r="L97" s="3"/>
    </row>
    <row r="98" spans="12:12" x14ac:dyDescent="0.2">
      <c r="L98" s="3"/>
    </row>
    <row r="99" spans="12:12" x14ac:dyDescent="0.2">
      <c r="L99" s="3"/>
    </row>
    <row r="100" spans="12:12" x14ac:dyDescent="0.2">
      <c r="L100" s="3"/>
    </row>
    <row r="101" spans="12:12" x14ac:dyDescent="0.2">
      <c r="L101" s="3"/>
    </row>
    <row r="102" spans="12:12" x14ac:dyDescent="0.2">
      <c r="L102" s="3"/>
    </row>
    <row r="103" spans="12:12" x14ac:dyDescent="0.2">
      <c r="L103" s="3"/>
    </row>
    <row r="104" spans="12:12" x14ac:dyDescent="0.2">
      <c r="L104" s="3"/>
    </row>
    <row r="105" spans="12:12" x14ac:dyDescent="0.2">
      <c r="L105" s="3"/>
    </row>
    <row r="106" spans="12:12" x14ac:dyDescent="0.2">
      <c r="L106" s="3"/>
    </row>
    <row r="107" spans="12:12" x14ac:dyDescent="0.2">
      <c r="L107" s="3"/>
    </row>
    <row r="108" spans="12:12" x14ac:dyDescent="0.2">
      <c r="L108" s="3"/>
    </row>
    <row r="109" spans="12:12" x14ac:dyDescent="0.2">
      <c r="L109" s="3"/>
    </row>
    <row r="110" spans="12:12" x14ac:dyDescent="0.2">
      <c r="L110" s="3"/>
    </row>
    <row r="111" spans="12:12" x14ac:dyDescent="0.2">
      <c r="L111" s="3"/>
    </row>
    <row r="112" spans="12:12" x14ac:dyDescent="0.2">
      <c r="L112" s="3"/>
    </row>
    <row r="113" spans="12:12" x14ac:dyDescent="0.2">
      <c r="L113" s="3"/>
    </row>
    <row r="114" spans="12:12" x14ac:dyDescent="0.2">
      <c r="L114" s="3"/>
    </row>
    <row r="115" spans="12:12" x14ac:dyDescent="0.2">
      <c r="L115" s="3"/>
    </row>
    <row r="116" spans="12:12" x14ac:dyDescent="0.2">
      <c r="L116" s="3"/>
    </row>
    <row r="117" spans="12:12" x14ac:dyDescent="0.2">
      <c r="L117" s="3"/>
    </row>
    <row r="118" spans="12:12" x14ac:dyDescent="0.2">
      <c r="L118" s="3"/>
    </row>
    <row r="119" spans="12:12" x14ac:dyDescent="0.2">
      <c r="L119" s="3"/>
    </row>
    <row r="120" spans="12:12" x14ac:dyDescent="0.2">
      <c r="L120" s="3"/>
    </row>
    <row r="121" spans="12:12" x14ac:dyDescent="0.2">
      <c r="L121" s="3"/>
    </row>
    <row r="122" spans="12:12" x14ac:dyDescent="0.2">
      <c r="L122" s="3"/>
    </row>
    <row r="123" spans="12:12" x14ac:dyDescent="0.2">
      <c r="L123" s="3"/>
    </row>
    <row r="124" spans="12:12" x14ac:dyDescent="0.2">
      <c r="L124" s="3"/>
    </row>
    <row r="125" spans="12:12" x14ac:dyDescent="0.2">
      <c r="L125" s="3"/>
    </row>
    <row r="126" spans="12:12" x14ac:dyDescent="0.2">
      <c r="L126" s="3"/>
    </row>
    <row r="127" spans="12:12" x14ac:dyDescent="0.2">
      <c r="L127" s="3"/>
    </row>
    <row r="128" spans="12:12" x14ac:dyDescent="0.2">
      <c r="L128" s="3"/>
    </row>
    <row r="129" spans="12:12" x14ac:dyDescent="0.2">
      <c r="L129" s="3"/>
    </row>
    <row r="130" spans="12:12" x14ac:dyDescent="0.2">
      <c r="L130" s="3"/>
    </row>
    <row r="131" spans="12:12" x14ac:dyDescent="0.2">
      <c r="L131" s="3"/>
    </row>
    <row r="132" spans="12:12" x14ac:dyDescent="0.2">
      <c r="L132" s="3"/>
    </row>
    <row r="133" spans="12:12" x14ac:dyDescent="0.2">
      <c r="L133" s="3"/>
    </row>
    <row r="134" spans="12:12" x14ac:dyDescent="0.2">
      <c r="L134" s="3"/>
    </row>
    <row r="135" spans="12:12" x14ac:dyDescent="0.2">
      <c r="L135" s="3"/>
    </row>
    <row r="136" spans="12:12" x14ac:dyDescent="0.2">
      <c r="L136" s="3"/>
    </row>
    <row r="137" spans="12:12" x14ac:dyDescent="0.2">
      <c r="L137" s="3"/>
    </row>
    <row r="138" spans="12:12" x14ac:dyDescent="0.2">
      <c r="L138" s="3"/>
    </row>
    <row r="139" spans="12:12" x14ac:dyDescent="0.2">
      <c r="L139" s="3"/>
    </row>
    <row r="140" spans="12:12" x14ac:dyDescent="0.2">
      <c r="L140" s="3"/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2"/>
  <sheetViews>
    <sheetView showGridLines="0" tabSelected="1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6" width="14.625" style="2" customWidth="1"/>
    <col min="7" max="7" width="13.375" style="2"/>
    <col min="8" max="8" width="14.625" style="2" customWidth="1"/>
    <col min="9" max="256" width="13.375" style="2"/>
    <col min="257" max="257" width="13.375" style="2" customWidth="1"/>
    <col min="258" max="258" width="18.375" style="2" customWidth="1"/>
    <col min="259" max="262" width="14.625" style="2" customWidth="1"/>
    <col min="263" max="263" width="13.375" style="2"/>
    <col min="264" max="264" width="14.625" style="2" customWidth="1"/>
    <col min="265" max="512" width="13.375" style="2"/>
    <col min="513" max="513" width="13.375" style="2" customWidth="1"/>
    <col min="514" max="514" width="18.375" style="2" customWidth="1"/>
    <col min="515" max="518" width="14.625" style="2" customWidth="1"/>
    <col min="519" max="519" width="13.375" style="2"/>
    <col min="520" max="520" width="14.625" style="2" customWidth="1"/>
    <col min="521" max="768" width="13.375" style="2"/>
    <col min="769" max="769" width="13.375" style="2" customWidth="1"/>
    <col min="770" max="770" width="18.375" style="2" customWidth="1"/>
    <col min="771" max="774" width="14.625" style="2" customWidth="1"/>
    <col min="775" max="775" width="13.375" style="2"/>
    <col min="776" max="776" width="14.625" style="2" customWidth="1"/>
    <col min="777" max="1024" width="13.375" style="2"/>
    <col min="1025" max="1025" width="13.375" style="2" customWidth="1"/>
    <col min="1026" max="1026" width="18.375" style="2" customWidth="1"/>
    <col min="1027" max="1030" width="14.625" style="2" customWidth="1"/>
    <col min="1031" max="1031" width="13.375" style="2"/>
    <col min="1032" max="1032" width="14.625" style="2" customWidth="1"/>
    <col min="1033" max="1280" width="13.375" style="2"/>
    <col min="1281" max="1281" width="13.375" style="2" customWidth="1"/>
    <col min="1282" max="1282" width="18.375" style="2" customWidth="1"/>
    <col min="1283" max="1286" width="14.625" style="2" customWidth="1"/>
    <col min="1287" max="1287" width="13.375" style="2"/>
    <col min="1288" max="1288" width="14.625" style="2" customWidth="1"/>
    <col min="1289" max="1536" width="13.375" style="2"/>
    <col min="1537" max="1537" width="13.375" style="2" customWidth="1"/>
    <col min="1538" max="1538" width="18.375" style="2" customWidth="1"/>
    <col min="1539" max="1542" width="14.625" style="2" customWidth="1"/>
    <col min="1543" max="1543" width="13.375" style="2"/>
    <col min="1544" max="1544" width="14.625" style="2" customWidth="1"/>
    <col min="1545" max="1792" width="13.375" style="2"/>
    <col min="1793" max="1793" width="13.375" style="2" customWidth="1"/>
    <col min="1794" max="1794" width="18.375" style="2" customWidth="1"/>
    <col min="1795" max="1798" width="14.625" style="2" customWidth="1"/>
    <col min="1799" max="1799" width="13.375" style="2"/>
    <col min="1800" max="1800" width="14.625" style="2" customWidth="1"/>
    <col min="1801" max="2048" width="13.375" style="2"/>
    <col min="2049" max="2049" width="13.375" style="2" customWidth="1"/>
    <col min="2050" max="2050" width="18.375" style="2" customWidth="1"/>
    <col min="2051" max="2054" width="14.625" style="2" customWidth="1"/>
    <col min="2055" max="2055" width="13.375" style="2"/>
    <col min="2056" max="2056" width="14.625" style="2" customWidth="1"/>
    <col min="2057" max="2304" width="13.375" style="2"/>
    <col min="2305" max="2305" width="13.375" style="2" customWidth="1"/>
    <col min="2306" max="2306" width="18.375" style="2" customWidth="1"/>
    <col min="2307" max="2310" width="14.625" style="2" customWidth="1"/>
    <col min="2311" max="2311" width="13.375" style="2"/>
    <col min="2312" max="2312" width="14.625" style="2" customWidth="1"/>
    <col min="2313" max="2560" width="13.375" style="2"/>
    <col min="2561" max="2561" width="13.375" style="2" customWidth="1"/>
    <col min="2562" max="2562" width="18.375" style="2" customWidth="1"/>
    <col min="2563" max="2566" width="14.625" style="2" customWidth="1"/>
    <col min="2567" max="2567" width="13.375" style="2"/>
    <col min="2568" max="2568" width="14.625" style="2" customWidth="1"/>
    <col min="2569" max="2816" width="13.375" style="2"/>
    <col min="2817" max="2817" width="13.375" style="2" customWidth="1"/>
    <col min="2818" max="2818" width="18.375" style="2" customWidth="1"/>
    <col min="2819" max="2822" width="14.625" style="2" customWidth="1"/>
    <col min="2823" max="2823" width="13.375" style="2"/>
    <col min="2824" max="2824" width="14.625" style="2" customWidth="1"/>
    <col min="2825" max="3072" width="13.375" style="2"/>
    <col min="3073" max="3073" width="13.375" style="2" customWidth="1"/>
    <col min="3074" max="3074" width="18.375" style="2" customWidth="1"/>
    <col min="3075" max="3078" width="14.625" style="2" customWidth="1"/>
    <col min="3079" max="3079" width="13.375" style="2"/>
    <col min="3080" max="3080" width="14.625" style="2" customWidth="1"/>
    <col min="3081" max="3328" width="13.375" style="2"/>
    <col min="3329" max="3329" width="13.375" style="2" customWidth="1"/>
    <col min="3330" max="3330" width="18.375" style="2" customWidth="1"/>
    <col min="3331" max="3334" width="14.625" style="2" customWidth="1"/>
    <col min="3335" max="3335" width="13.375" style="2"/>
    <col min="3336" max="3336" width="14.625" style="2" customWidth="1"/>
    <col min="3337" max="3584" width="13.375" style="2"/>
    <col min="3585" max="3585" width="13.375" style="2" customWidth="1"/>
    <col min="3586" max="3586" width="18.375" style="2" customWidth="1"/>
    <col min="3587" max="3590" width="14.625" style="2" customWidth="1"/>
    <col min="3591" max="3591" width="13.375" style="2"/>
    <col min="3592" max="3592" width="14.625" style="2" customWidth="1"/>
    <col min="3593" max="3840" width="13.375" style="2"/>
    <col min="3841" max="3841" width="13.375" style="2" customWidth="1"/>
    <col min="3842" max="3842" width="18.375" style="2" customWidth="1"/>
    <col min="3843" max="3846" width="14.625" style="2" customWidth="1"/>
    <col min="3847" max="3847" width="13.375" style="2"/>
    <col min="3848" max="3848" width="14.625" style="2" customWidth="1"/>
    <col min="3849" max="4096" width="13.375" style="2"/>
    <col min="4097" max="4097" width="13.375" style="2" customWidth="1"/>
    <col min="4098" max="4098" width="18.375" style="2" customWidth="1"/>
    <col min="4099" max="4102" width="14.625" style="2" customWidth="1"/>
    <col min="4103" max="4103" width="13.375" style="2"/>
    <col min="4104" max="4104" width="14.625" style="2" customWidth="1"/>
    <col min="4105" max="4352" width="13.375" style="2"/>
    <col min="4353" max="4353" width="13.375" style="2" customWidth="1"/>
    <col min="4354" max="4354" width="18.375" style="2" customWidth="1"/>
    <col min="4355" max="4358" width="14.625" style="2" customWidth="1"/>
    <col min="4359" max="4359" width="13.375" style="2"/>
    <col min="4360" max="4360" width="14.625" style="2" customWidth="1"/>
    <col min="4361" max="4608" width="13.375" style="2"/>
    <col min="4609" max="4609" width="13.375" style="2" customWidth="1"/>
    <col min="4610" max="4610" width="18.375" style="2" customWidth="1"/>
    <col min="4611" max="4614" width="14.625" style="2" customWidth="1"/>
    <col min="4615" max="4615" width="13.375" style="2"/>
    <col min="4616" max="4616" width="14.625" style="2" customWidth="1"/>
    <col min="4617" max="4864" width="13.375" style="2"/>
    <col min="4865" max="4865" width="13.375" style="2" customWidth="1"/>
    <col min="4866" max="4866" width="18.375" style="2" customWidth="1"/>
    <col min="4867" max="4870" width="14.625" style="2" customWidth="1"/>
    <col min="4871" max="4871" width="13.375" style="2"/>
    <col min="4872" max="4872" width="14.625" style="2" customWidth="1"/>
    <col min="4873" max="5120" width="13.375" style="2"/>
    <col min="5121" max="5121" width="13.375" style="2" customWidth="1"/>
    <col min="5122" max="5122" width="18.375" style="2" customWidth="1"/>
    <col min="5123" max="5126" width="14.625" style="2" customWidth="1"/>
    <col min="5127" max="5127" width="13.375" style="2"/>
    <col min="5128" max="5128" width="14.625" style="2" customWidth="1"/>
    <col min="5129" max="5376" width="13.375" style="2"/>
    <col min="5377" max="5377" width="13.375" style="2" customWidth="1"/>
    <col min="5378" max="5378" width="18.375" style="2" customWidth="1"/>
    <col min="5379" max="5382" width="14.625" style="2" customWidth="1"/>
    <col min="5383" max="5383" width="13.375" style="2"/>
    <col min="5384" max="5384" width="14.625" style="2" customWidth="1"/>
    <col min="5385" max="5632" width="13.375" style="2"/>
    <col min="5633" max="5633" width="13.375" style="2" customWidth="1"/>
    <col min="5634" max="5634" width="18.375" style="2" customWidth="1"/>
    <col min="5635" max="5638" width="14.625" style="2" customWidth="1"/>
    <col min="5639" max="5639" width="13.375" style="2"/>
    <col min="5640" max="5640" width="14.625" style="2" customWidth="1"/>
    <col min="5641" max="5888" width="13.375" style="2"/>
    <col min="5889" max="5889" width="13.375" style="2" customWidth="1"/>
    <col min="5890" max="5890" width="18.375" style="2" customWidth="1"/>
    <col min="5891" max="5894" width="14.625" style="2" customWidth="1"/>
    <col min="5895" max="5895" width="13.375" style="2"/>
    <col min="5896" max="5896" width="14.625" style="2" customWidth="1"/>
    <col min="5897" max="6144" width="13.375" style="2"/>
    <col min="6145" max="6145" width="13.375" style="2" customWidth="1"/>
    <col min="6146" max="6146" width="18.375" style="2" customWidth="1"/>
    <col min="6147" max="6150" width="14.625" style="2" customWidth="1"/>
    <col min="6151" max="6151" width="13.375" style="2"/>
    <col min="6152" max="6152" width="14.625" style="2" customWidth="1"/>
    <col min="6153" max="6400" width="13.375" style="2"/>
    <col min="6401" max="6401" width="13.375" style="2" customWidth="1"/>
    <col min="6402" max="6402" width="18.375" style="2" customWidth="1"/>
    <col min="6403" max="6406" width="14.625" style="2" customWidth="1"/>
    <col min="6407" max="6407" width="13.375" style="2"/>
    <col min="6408" max="6408" width="14.625" style="2" customWidth="1"/>
    <col min="6409" max="6656" width="13.375" style="2"/>
    <col min="6657" max="6657" width="13.375" style="2" customWidth="1"/>
    <col min="6658" max="6658" width="18.375" style="2" customWidth="1"/>
    <col min="6659" max="6662" width="14.625" style="2" customWidth="1"/>
    <col min="6663" max="6663" width="13.375" style="2"/>
    <col min="6664" max="6664" width="14.625" style="2" customWidth="1"/>
    <col min="6665" max="6912" width="13.375" style="2"/>
    <col min="6913" max="6913" width="13.375" style="2" customWidth="1"/>
    <col min="6914" max="6914" width="18.375" style="2" customWidth="1"/>
    <col min="6915" max="6918" width="14.625" style="2" customWidth="1"/>
    <col min="6919" max="6919" width="13.375" style="2"/>
    <col min="6920" max="6920" width="14.625" style="2" customWidth="1"/>
    <col min="6921" max="7168" width="13.375" style="2"/>
    <col min="7169" max="7169" width="13.375" style="2" customWidth="1"/>
    <col min="7170" max="7170" width="18.375" style="2" customWidth="1"/>
    <col min="7171" max="7174" width="14.625" style="2" customWidth="1"/>
    <col min="7175" max="7175" width="13.375" style="2"/>
    <col min="7176" max="7176" width="14.625" style="2" customWidth="1"/>
    <col min="7177" max="7424" width="13.375" style="2"/>
    <col min="7425" max="7425" width="13.375" style="2" customWidth="1"/>
    <col min="7426" max="7426" width="18.375" style="2" customWidth="1"/>
    <col min="7427" max="7430" width="14.625" style="2" customWidth="1"/>
    <col min="7431" max="7431" width="13.375" style="2"/>
    <col min="7432" max="7432" width="14.625" style="2" customWidth="1"/>
    <col min="7433" max="7680" width="13.375" style="2"/>
    <col min="7681" max="7681" width="13.375" style="2" customWidth="1"/>
    <col min="7682" max="7682" width="18.375" style="2" customWidth="1"/>
    <col min="7683" max="7686" width="14.625" style="2" customWidth="1"/>
    <col min="7687" max="7687" width="13.375" style="2"/>
    <col min="7688" max="7688" width="14.625" style="2" customWidth="1"/>
    <col min="7689" max="7936" width="13.375" style="2"/>
    <col min="7937" max="7937" width="13.375" style="2" customWidth="1"/>
    <col min="7938" max="7938" width="18.375" style="2" customWidth="1"/>
    <col min="7939" max="7942" width="14.625" style="2" customWidth="1"/>
    <col min="7943" max="7943" width="13.375" style="2"/>
    <col min="7944" max="7944" width="14.625" style="2" customWidth="1"/>
    <col min="7945" max="8192" width="13.375" style="2"/>
    <col min="8193" max="8193" width="13.375" style="2" customWidth="1"/>
    <col min="8194" max="8194" width="18.375" style="2" customWidth="1"/>
    <col min="8195" max="8198" width="14.625" style="2" customWidth="1"/>
    <col min="8199" max="8199" width="13.375" style="2"/>
    <col min="8200" max="8200" width="14.625" style="2" customWidth="1"/>
    <col min="8201" max="8448" width="13.375" style="2"/>
    <col min="8449" max="8449" width="13.375" style="2" customWidth="1"/>
    <col min="8450" max="8450" width="18.375" style="2" customWidth="1"/>
    <col min="8451" max="8454" width="14.625" style="2" customWidth="1"/>
    <col min="8455" max="8455" width="13.375" style="2"/>
    <col min="8456" max="8456" width="14.625" style="2" customWidth="1"/>
    <col min="8457" max="8704" width="13.375" style="2"/>
    <col min="8705" max="8705" width="13.375" style="2" customWidth="1"/>
    <col min="8706" max="8706" width="18.375" style="2" customWidth="1"/>
    <col min="8707" max="8710" width="14.625" style="2" customWidth="1"/>
    <col min="8711" max="8711" width="13.375" style="2"/>
    <col min="8712" max="8712" width="14.625" style="2" customWidth="1"/>
    <col min="8713" max="8960" width="13.375" style="2"/>
    <col min="8961" max="8961" width="13.375" style="2" customWidth="1"/>
    <col min="8962" max="8962" width="18.375" style="2" customWidth="1"/>
    <col min="8963" max="8966" width="14.625" style="2" customWidth="1"/>
    <col min="8967" max="8967" width="13.375" style="2"/>
    <col min="8968" max="8968" width="14.625" style="2" customWidth="1"/>
    <col min="8969" max="9216" width="13.375" style="2"/>
    <col min="9217" max="9217" width="13.375" style="2" customWidth="1"/>
    <col min="9218" max="9218" width="18.375" style="2" customWidth="1"/>
    <col min="9219" max="9222" width="14.625" style="2" customWidth="1"/>
    <col min="9223" max="9223" width="13.375" style="2"/>
    <col min="9224" max="9224" width="14.625" style="2" customWidth="1"/>
    <col min="9225" max="9472" width="13.375" style="2"/>
    <col min="9473" max="9473" width="13.375" style="2" customWidth="1"/>
    <col min="9474" max="9474" width="18.375" style="2" customWidth="1"/>
    <col min="9475" max="9478" width="14.625" style="2" customWidth="1"/>
    <col min="9479" max="9479" width="13.375" style="2"/>
    <col min="9480" max="9480" width="14.625" style="2" customWidth="1"/>
    <col min="9481" max="9728" width="13.375" style="2"/>
    <col min="9729" max="9729" width="13.375" style="2" customWidth="1"/>
    <col min="9730" max="9730" width="18.375" style="2" customWidth="1"/>
    <col min="9731" max="9734" width="14.625" style="2" customWidth="1"/>
    <col min="9735" max="9735" width="13.375" style="2"/>
    <col min="9736" max="9736" width="14.625" style="2" customWidth="1"/>
    <col min="9737" max="9984" width="13.375" style="2"/>
    <col min="9985" max="9985" width="13.375" style="2" customWidth="1"/>
    <col min="9986" max="9986" width="18.375" style="2" customWidth="1"/>
    <col min="9987" max="9990" width="14.625" style="2" customWidth="1"/>
    <col min="9991" max="9991" width="13.375" style="2"/>
    <col min="9992" max="9992" width="14.625" style="2" customWidth="1"/>
    <col min="9993" max="10240" width="13.375" style="2"/>
    <col min="10241" max="10241" width="13.375" style="2" customWidth="1"/>
    <col min="10242" max="10242" width="18.375" style="2" customWidth="1"/>
    <col min="10243" max="10246" width="14.625" style="2" customWidth="1"/>
    <col min="10247" max="10247" width="13.375" style="2"/>
    <col min="10248" max="10248" width="14.625" style="2" customWidth="1"/>
    <col min="10249" max="10496" width="13.375" style="2"/>
    <col min="10497" max="10497" width="13.375" style="2" customWidth="1"/>
    <col min="10498" max="10498" width="18.375" style="2" customWidth="1"/>
    <col min="10499" max="10502" width="14.625" style="2" customWidth="1"/>
    <col min="10503" max="10503" width="13.375" style="2"/>
    <col min="10504" max="10504" width="14.625" style="2" customWidth="1"/>
    <col min="10505" max="10752" width="13.375" style="2"/>
    <col min="10753" max="10753" width="13.375" style="2" customWidth="1"/>
    <col min="10754" max="10754" width="18.375" style="2" customWidth="1"/>
    <col min="10755" max="10758" width="14.625" style="2" customWidth="1"/>
    <col min="10759" max="10759" width="13.375" style="2"/>
    <col min="10760" max="10760" width="14.625" style="2" customWidth="1"/>
    <col min="10761" max="11008" width="13.375" style="2"/>
    <col min="11009" max="11009" width="13.375" style="2" customWidth="1"/>
    <col min="11010" max="11010" width="18.375" style="2" customWidth="1"/>
    <col min="11011" max="11014" width="14.625" style="2" customWidth="1"/>
    <col min="11015" max="11015" width="13.375" style="2"/>
    <col min="11016" max="11016" width="14.625" style="2" customWidth="1"/>
    <col min="11017" max="11264" width="13.375" style="2"/>
    <col min="11265" max="11265" width="13.375" style="2" customWidth="1"/>
    <col min="11266" max="11266" width="18.375" style="2" customWidth="1"/>
    <col min="11267" max="11270" width="14.625" style="2" customWidth="1"/>
    <col min="11271" max="11271" width="13.375" style="2"/>
    <col min="11272" max="11272" width="14.625" style="2" customWidth="1"/>
    <col min="11273" max="11520" width="13.375" style="2"/>
    <col min="11521" max="11521" width="13.375" style="2" customWidth="1"/>
    <col min="11522" max="11522" width="18.375" style="2" customWidth="1"/>
    <col min="11523" max="11526" width="14.625" style="2" customWidth="1"/>
    <col min="11527" max="11527" width="13.375" style="2"/>
    <col min="11528" max="11528" width="14.625" style="2" customWidth="1"/>
    <col min="11529" max="11776" width="13.375" style="2"/>
    <col min="11777" max="11777" width="13.375" style="2" customWidth="1"/>
    <col min="11778" max="11778" width="18.375" style="2" customWidth="1"/>
    <col min="11779" max="11782" width="14.625" style="2" customWidth="1"/>
    <col min="11783" max="11783" width="13.375" style="2"/>
    <col min="11784" max="11784" width="14.625" style="2" customWidth="1"/>
    <col min="11785" max="12032" width="13.375" style="2"/>
    <col min="12033" max="12033" width="13.375" style="2" customWidth="1"/>
    <col min="12034" max="12034" width="18.375" style="2" customWidth="1"/>
    <col min="12035" max="12038" width="14.625" style="2" customWidth="1"/>
    <col min="12039" max="12039" width="13.375" style="2"/>
    <col min="12040" max="12040" width="14.625" style="2" customWidth="1"/>
    <col min="12041" max="12288" width="13.375" style="2"/>
    <col min="12289" max="12289" width="13.375" style="2" customWidth="1"/>
    <col min="12290" max="12290" width="18.375" style="2" customWidth="1"/>
    <col min="12291" max="12294" width="14.625" style="2" customWidth="1"/>
    <col min="12295" max="12295" width="13.375" style="2"/>
    <col min="12296" max="12296" width="14.625" style="2" customWidth="1"/>
    <col min="12297" max="12544" width="13.375" style="2"/>
    <col min="12545" max="12545" width="13.375" style="2" customWidth="1"/>
    <col min="12546" max="12546" width="18.375" style="2" customWidth="1"/>
    <col min="12547" max="12550" width="14.625" style="2" customWidth="1"/>
    <col min="12551" max="12551" width="13.375" style="2"/>
    <col min="12552" max="12552" width="14.625" style="2" customWidth="1"/>
    <col min="12553" max="12800" width="13.375" style="2"/>
    <col min="12801" max="12801" width="13.375" style="2" customWidth="1"/>
    <col min="12802" max="12802" width="18.375" style="2" customWidth="1"/>
    <col min="12803" max="12806" width="14.625" style="2" customWidth="1"/>
    <col min="12807" max="12807" width="13.375" style="2"/>
    <col min="12808" max="12808" width="14.625" style="2" customWidth="1"/>
    <col min="12809" max="13056" width="13.375" style="2"/>
    <col min="13057" max="13057" width="13.375" style="2" customWidth="1"/>
    <col min="13058" max="13058" width="18.375" style="2" customWidth="1"/>
    <col min="13059" max="13062" width="14.625" style="2" customWidth="1"/>
    <col min="13063" max="13063" width="13.375" style="2"/>
    <col min="13064" max="13064" width="14.625" style="2" customWidth="1"/>
    <col min="13065" max="13312" width="13.375" style="2"/>
    <col min="13313" max="13313" width="13.375" style="2" customWidth="1"/>
    <col min="13314" max="13314" width="18.375" style="2" customWidth="1"/>
    <col min="13315" max="13318" width="14.625" style="2" customWidth="1"/>
    <col min="13319" max="13319" width="13.375" style="2"/>
    <col min="13320" max="13320" width="14.625" style="2" customWidth="1"/>
    <col min="13321" max="13568" width="13.375" style="2"/>
    <col min="13569" max="13569" width="13.375" style="2" customWidth="1"/>
    <col min="13570" max="13570" width="18.375" style="2" customWidth="1"/>
    <col min="13571" max="13574" width="14.625" style="2" customWidth="1"/>
    <col min="13575" max="13575" width="13.375" style="2"/>
    <col min="13576" max="13576" width="14.625" style="2" customWidth="1"/>
    <col min="13577" max="13824" width="13.375" style="2"/>
    <col min="13825" max="13825" width="13.375" style="2" customWidth="1"/>
    <col min="13826" max="13826" width="18.375" style="2" customWidth="1"/>
    <col min="13827" max="13830" width="14.625" style="2" customWidth="1"/>
    <col min="13831" max="13831" width="13.375" style="2"/>
    <col min="13832" max="13832" width="14.625" style="2" customWidth="1"/>
    <col min="13833" max="14080" width="13.375" style="2"/>
    <col min="14081" max="14081" width="13.375" style="2" customWidth="1"/>
    <col min="14082" max="14082" width="18.375" style="2" customWidth="1"/>
    <col min="14083" max="14086" width="14.625" style="2" customWidth="1"/>
    <col min="14087" max="14087" width="13.375" style="2"/>
    <col min="14088" max="14088" width="14.625" style="2" customWidth="1"/>
    <col min="14089" max="14336" width="13.375" style="2"/>
    <col min="14337" max="14337" width="13.375" style="2" customWidth="1"/>
    <col min="14338" max="14338" width="18.375" style="2" customWidth="1"/>
    <col min="14339" max="14342" width="14.625" style="2" customWidth="1"/>
    <col min="14343" max="14343" width="13.375" style="2"/>
    <col min="14344" max="14344" width="14.625" style="2" customWidth="1"/>
    <col min="14345" max="14592" width="13.375" style="2"/>
    <col min="14593" max="14593" width="13.375" style="2" customWidth="1"/>
    <col min="14594" max="14594" width="18.375" style="2" customWidth="1"/>
    <col min="14595" max="14598" width="14.625" style="2" customWidth="1"/>
    <col min="14599" max="14599" width="13.375" style="2"/>
    <col min="14600" max="14600" width="14.625" style="2" customWidth="1"/>
    <col min="14601" max="14848" width="13.375" style="2"/>
    <col min="14849" max="14849" width="13.375" style="2" customWidth="1"/>
    <col min="14850" max="14850" width="18.375" style="2" customWidth="1"/>
    <col min="14851" max="14854" width="14.625" style="2" customWidth="1"/>
    <col min="14855" max="14855" width="13.375" style="2"/>
    <col min="14856" max="14856" width="14.625" style="2" customWidth="1"/>
    <col min="14857" max="15104" width="13.375" style="2"/>
    <col min="15105" max="15105" width="13.375" style="2" customWidth="1"/>
    <col min="15106" max="15106" width="18.375" style="2" customWidth="1"/>
    <col min="15107" max="15110" width="14.625" style="2" customWidth="1"/>
    <col min="15111" max="15111" width="13.375" style="2"/>
    <col min="15112" max="15112" width="14.625" style="2" customWidth="1"/>
    <col min="15113" max="15360" width="13.375" style="2"/>
    <col min="15361" max="15361" width="13.375" style="2" customWidth="1"/>
    <col min="15362" max="15362" width="18.375" style="2" customWidth="1"/>
    <col min="15363" max="15366" width="14.625" style="2" customWidth="1"/>
    <col min="15367" max="15367" width="13.375" style="2"/>
    <col min="15368" max="15368" width="14.625" style="2" customWidth="1"/>
    <col min="15369" max="15616" width="13.375" style="2"/>
    <col min="15617" max="15617" width="13.375" style="2" customWidth="1"/>
    <col min="15618" max="15618" width="18.375" style="2" customWidth="1"/>
    <col min="15619" max="15622" width="14.625" style="2" customWidth="1"/>
    <col min="15623" max="15623" width="13.375" style="2"/>
    <col min="15624" max="15624" width="14.625" style="2" customWidth="1"/>
    <col min="15625" max="15872" width="13.375" style="2"/>
    <col min="15873" max="15873" width="13.375" style="2" customWidth="1"/>
    <col min="15874" max="15874" width="18.375" style="2" customWidth="1"/>
    <col min="15875" max="15878" width="14.625" style="2" customWidth="1"/>
    <col min="15879" max="15879" width="13.375" style="2"/>
    <col min="15880" max="15880" width="14.625" style="2" customWidth="1"/>
    <col min="15881" max="16128" width="13.375" style="2"/>
    <col min="16129" max="16129" width="13.375" style="2" customWidth="1"/>
    <col min="16130" max="16130" width="18.375" style="2" customWidth="1"/>
    <col min="16131" max="16134" width="14.625" style="2" customWidth="1"/>
    <col min="16135" max="16135" width="13.375" style="2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D6" s="4" t="s">
        <v>845</v>
      </c>
      <c r="I6" s="3"/>
      <c r="J6" s="3"/>
    </row>
    <row r="7" spans="1:11" ht="18" thickBot="1" x14ac:dyDescent="0.25">
      <c r="B7" s="6"/>
      <c r="C7" s="6"/>
      <c r="D7" s="6"/>
      <c r="E7" s="7" t="s">
        <v>1</v>
      </c>
      <c r="F7" s="6"/>
      <c r="G7" s="6"/>
      <c r="H7" s="6"/>
      <c r="I7" s="6"/>
      <c r="J7" s="9" t="s">
        <v>2</v>
      </c>
      <c r="K7" s="3"/>
    </row>
    <row r="8" spans="1:11" x14ac:dyDescent="0.2">
      <c r="C8" s="10"/>
      <c r="E8" s="12"/>
      <c r="F8" s="12"/>
      <c r="G8" s="12"/>
      <c r="H8" s="12"/>
      <c r="I8" s="12"/>
      <c r="J8" s="12"/>
      <c r="K8" s="3"/>
    </row>
    <row r="9" spans="1:11" x14ac:dyDescent="0.2">
      <c r="C9" s="10"/>
      <c r="E9" s="10"/>
      <c r="G9" s="10"/>
      <c r="I9" s="10"/>
      <c r="K9" s="3"/>
    </row>
    <row r="10" spans="1:11" x14ac:dyDescent="0.2">
      <c r="C10" s="29" t="s">
        <v>846</v>
      </c>
      <c r="D10" s="12"/>
      <c r="E10" s="29" t="s">
        <v>847</v>
      </c>
      <c r="F10" s="12"/>
      <c r="G10" s="29" t="s">
        <v>848</v>
      </c>
      <c r="H10" s="12"/>
      <c r="I10" s="29" t="s">
        <v>849</v>
      </c>
      <c r="J10" s="12"/>
      <c r="K10" s="3"/>
    </row>
    <row r="11" spans="1:11" x14ac:dyDescent="0.2">
      <c r="B11" s="1" t="s">
        <v>3</v>
      </c>
      <c r="C11" s="46" t="s">
        <v>850</v>
      </c>
      <c r="D11" s="46" t="s">
        <v>851</v>
      </c>
      <c r="E11" s="46" t="s">
        <v>850</v>
      </c>
      <c r="F11" s="46" t="s">
        <v>851</v>
      </c>
      <c r="G11" s="46" t="s">
        <v>850</v>
      </c>
      <c r="H11" s="46" t="s">
        <v>851</v>
      </c>
      <c r="I11" s="46" t="s">
        <v>850</v>
      </c>
      <c r="J11" s="46" t="s">
        <v>851</v>
      </c>
      <c r="K11" s="3"/>
    </row>
    <row r="12" spans="1:11" x14ac:dyDescent="0.2">
      <c r="B12" s="12"/>
      <c r="C12" s="17" t="s">
        <v>852</v>
      </c>
      <c r="D12" s="17" t="s">
        <v>853</v>
      </c>
      <c r="E12" s="17" t="s">
        <v>852</v>
      </c>
      <c r="F12" s="17" t="s">
        <v>854</v>
      </c>
      <c r="G12" s="17" t="s">
        <v>855</v>
      </c>
      <c r="H12" s="17" t="s">
        <v>854</v>
      </c>
      <c r="I12" s="17" t="s">
        <v>855</v>
      </c>
      <c r="J12" s="17" t="s">
        <v>854</v>
      </c>
      <c r="K12" s="3"/>
    </row>
    <row r="13" spans="1:11" x14ac:dyDescent="0.2">
      <c r="C13" s="10"/>
      <c r="K13" s="3"/>
    </row>
    <row r="14" spans="1:11" x14ac:dyDescent="0.2">
      <c r="B14" s="1" t="s">
        <v>14</v>
      </c>
      <c r="C14" s="18">
        <f>E14+G14+I14</f>
        <v>1412</v>
      </c>
      <c r="D14" s="43">
        <f>F14+H14+J14</f>
        <v>1921</v>
      </c>
      <c r="E14" s="5">
        <f>1145+19</f>
        <v>1164</v>
      </c>
      <c r="F14" s="5">
        <v>1507</v>
      </c>
      <c r="G14" s="5">
        <v>156</v>
      </c>
      <c r="H14" s="5">
        <v>408</v>
      </c>
      <c r="I14" s="5">
        <v>92</v>
      </c>
      <c r="J14" s="5">
        <v>6</v>
      </c>
      <c r="K14" s="3"/>
    </row>
    <row r="15" spans="1:11" x14ac:dyDescent="0.2">
      <c r="B15" s="1" t="s">
        <v>15</v>
      </c>
      <c r="C15" s="18">
        <f>E15+G15+I15</f>
        <v>1788</v>
      </c>
      <c r="D15" s="43">
        <f>F15+H15+J15</f>
        <v>2481</v>
      </c>
      <c r="E15" s="5">
        <f>1466+30</f>
        <v>1496</v>
      </c>
      <c r="F15" s="5">
        <v>1868</v>
      </c>
      <c r="G15" s="5">
        <v>213</v>
      </c>
      <c r="H15" s="5">
        <v>594</v>
      </c>
      <c r="I15" s="5">
        <v>79</v>
      </c>
      <c r="J15" s="5">
        <v>19</v>
      </c>
      <c r="K15" s="3"/>
    </row>
    <row r="16" spans="1:11" x14ac:dyDescent="0.2">
      <c r="C16" s="10"/>
      <c r="E16" s="5"/>
      <c r="F16" s="5"/>
      <c r="G16" s="5"/>
      <c r="H16" s="5"/>
      <c r="I16" s="5"/>
      <c r="J16" s="5"/>
      <c r="K16" s="3"/>
    </row>
    <row r="17" spans="2:11" x14ac:dyDescent="0.2">
      <c r="B17" s="1" t="s">
        <v>16</v>
      </c>
      <c r="C17" s="18">
        <f t="shared" ref="C17:D25" si="0">E17+G17+I17</f>
        <v>1876</v>
      </c>
      <c r="D17" s="43">
        <f t="shared" si="0"/>
        <v>2552</v>
      </c>
      <c r="E17" s="5">
        <v>1543</v>
      </c>
      <c r="F17" s="5">
        <v>1828</v>
      </c>
      <c r="G17" s="5">
        <v>216</v>
      </c>
      <c r="H17" s="5">
        <v>701</v>
      </c>
      <c r="I17" s="5">
        <v>117</v>
      </c>
      <c r="J17" s="5">
        <v>23</v>
      </c>
      <c r="K17" s="3"/>
    </row>
    <row r="18" spans="2:11" x14ac:dyDescent="0.2">
      <c r="B18" s="1" t="s">
        <v>17</v>
      </c>
      <c r="C18" s="18">
        <f t="shared" si="0"/>
        <v>1997</v>
      </c>
      <c r="D18" s="43">
        <f t="shared" si="0"/>
        <v>2850</v>
      </c>
      <c r="E18" s="5">
        <f>1635+1</f>
        <v>1636</v>
      </c>
      <c r="F18" s="5">
        <f>1893+183</f>
        <v>2076</v>
      </c>
      <c r="G18" s="5">
        <f>238+0</f>
        <v>238</v>
      </c>
      <c r="H18" s="5">
        <v>723</v>
      </c>
      <c r="I18" s="5">
        <f>82+41</f>
        <v>123</v>
      </c>
      <c r="J18" s="5">
        <v>51</v>
      </c>
      <c r="K18" s="3"/>
    </row>
    <row r="19" spans="2:11" x14ac:dyDescent="0.2">
      <c r="B19" s="1" t="s">
        <v>19</v>
      </c>
      <c r="C19" s="18">
        <f t="shared" si="0"/>
        <v>2157</v>
      </c>
      <c r="D19" s="43">
        <f t="shared" si="0"/>
        <v>3135</v>
      </c>
      <c r="E19" s="5">
        <f>1770+51</f>
        <v>1821</v>
      </c>
      <c r="F19" s="5">
        <f>2038+177</f>
        <v>2215</v>
      </c>
      <c r="G19" s="5">
        <f>228+0</f>
        <v>228</v>
      </c>
      <c r="H19" s="5">
        <v>876</v>
      </c>
      <c r="I19" s="5">
        <v>108</v>
      </c>
      <c r="J19" s="5">
        <v>44</v>
      </c>
      <c r="K19" s="3"/>
    </row>
    <row r="20" spans="2:11" x14ac:dyDescent="0.2">
      <c r="B20" s="1" t="s">
        <v>21</v>
      </c>
      <c r="C20" s="18">
        <f t="shared" si="0"/>
        <v>2339</v>
      </c>
      <c r="D20" s="43">
        <f t="shared" si="0"/>
        <v>3171</v>
      </c>
      <c r="E20" s="5">
        <f>1938+77</f>
        <v>2015</v>
      </c>
      <c r="F20" s="5">
        <v>2227</v>
      </c>
      <c r="G20" s="5">
        <v>200</v>
      </c>
      <c r="H20" s="5">
        <v>894</v>
      </c>
      <c r="I20" s="5">
        <v>124</v>
      </c>
      <c r="J20" s="5">
        <v>50</v>
      </c>
      <c r="K20" s="3"/>
    </row>
    <row r="21" spans="2:11" x14ac:dyDescent="0.2">
      <c r="B21" s="1" t="s">
        <v>22</v>
      </c>
      <c r="C21" s="18">
        <f t="shared" si="0"/>
        <v>2533</v>
      </c>
      <c r="D21" s="43">
        <f t="shared" si="0"/>
        <v>3779</v>
      </c>
      <c r="E21" s="5">
        <f>2126+100</f>
        <v>2226</v>
      </c>
      <c r="F21" s="5">
        <f>2463+222</f>
        <v>2685</v>
      </c>
      <c r="G21" s="5">
        <f>215+2</f>
        <v>217</v>
      </c>
      <c r="H21" s="5">
        <f>1036+11</f>
        <v>1047</v>
      </c>
      <c r="I21" s="5">
        <v>90</v>
      </c>
      <c r="J21" s="5">
        <v>47</v>
      </c>
      <c r="K21" s="3"/>
    </row>
    <row r="22" spans="2:11" x14ac:dyDescent="0.2">
      <c r="B22" s="1" t="s">
        <v>23</v>
      </c>
      <c r="C22" s="18">
        <f t="shared" si="0"/>
        <v>2705</v>
      </c>
      <c r="D22" s="43">
        <f t="shared" si="0"/>
        <v>3980</v>
      </c>
      <c r="E22" s="5">
        <f>2237+124</f>
        <v>2361</v>
      </c>
      <c r="F22" s="5">
        <f>2482+213</f>
        <v>2695</v>
      </c>
      <c r="G22" s="5">
        <f>241+2</f>
        <v>243</v>
      </c>
      <c r="H22" s="5">
        <f>1172+26</f>
        <v>1198</v>
      </c>
      <c r="I22" s="5">
        <v>101</v>
      </c>
      <c r="J22" s="5">
        <f>85+2</f>
        <v>87</v>
      </c>
      <c r="K22" s="3"/>
    </row>
    <row r="23" spans="2:11" x14ac:dyDescent="0.2">
      <c r="B23" s="1" t="s">
        <v>24</v>
      </c>
      <c r="C23" s="18">
        <f t="shared" si="0"/>
        <v>3129</v>
      </c>
      <c r="D23" s="43">
        <f t="shared" si="0"/>
        <v>4162</v>
      </c>
      <c r="E23" s="5">
        <v>2675</v>
      </c>
      <c r="F23" s="5">
        <v>2717</v>
      </c>
      <c r="G23" s="5">
        <v>297</v>
      </c>
      <c r="H23" s="5">
        <v>1306</v>
      </c>
      <c r="I23" s="5">
        <v>157</v>
      </c>
      <c r="J23" s="5">
        <v>139</v>
      </c>
      <c r="K23" s="3"/>
    </row>
    <row r="24" spans="2:11" x14ac:dyDescent="0.2">
      <c r="B24" s="1" t="s">
        <v>25</v>
      </c>
      <c r="C24" s="18">
        <f t="shared" si="0"/>
        <v>3538</v>
      </c>
      <c r="D24" s="43">
        <f t="shared" si="0"/>
        <v>4328</v>
      </c>
      <c r="E24" s="5">
        <v>3023</v>
      </c>
      <c r="F24" s="5">
        <v>2690</v>
      </c>
      <c r="G24" s="5">
        <v>336</v>
      </c>
      <c r="H24" s="5">
        <v>1410</v>
      </c>
      <c r="I24" s="5">
        <v>179</v>
      </c>
      <c r="J24" s="5">
        <v>228</v>
      </c>
      <c r="K24" s="3"/>
    </row>
    <row r="25" spans="2:11" x14ac:dyDescent="0.2">
      <c r="B25" s="4" t="s">
        <v>856</v>
      </c>
      <c r="C25" s="20">
        <f t="shared" si="0"/>
        <v>4100</v>
      </c>
      <c r="D25" s="21">
        <f t="shared" si="0"/>
        <v>4533</v>
      </c>
      <c r="E25" s="26">
        <v>3442</v>
      </c>
      <c r="F25" s="26">
        <v>2644</v>
      </c>
      <c r="G25" s="26">
        <v>358</v>
      </c>
      <c r="H25" s="26">
        <v>1543</v>
      </c>
      <c r="I25" s="26">
        <v>300</v>
      </c>
      <c r="J25" s="26">
        <v>346</v>
      </c>
      <c r="K25" s="3"/>
    </row>
    <row r="26" spans="2:11" x14ac:dyDescent="0.2">
      <c r="C26" s="28"/>
      <c r="D26" s="5"/>
      <c r="E26" s="5"/>
      <c r="F26" s="5"/>
      <c r="G26" s="5"/>
      <c r="H26" s="5"/>
      <c r="I26" s="5"/>
      <c r="J26" s="5"/>
      <c r="K26" s="3"/>
    </row>
    <row r="27" spans="2:11" x14ac:dyDescent="0.2">
      <c r="B27" s="1" t="s">
        <v>27</v>
      </c>
      <c r="C27" s="18">
        <f t="shared" ref="C27:D31" si="1">E27+G27+I27</f>
        <v>1506</v>
      </c>
      <c r="D27" s="43">
        <f t="shared" si="1"/>
        <v>1703</v>
      </c>
      <c r="E27" s="5">
        <v>1286</v>
      </c>
      <c r="F27" s="5">
        <v>1132</v>
      </c>
      <c r="G27" s="5">
        <v>108</v>
      </c>
      <c r="H27" s="5">
        <v>479</v>
      </c>
      <c r="I27" s="5">
        <v>112</v>
      </c>
      <c r="J27" s="5">
        <v>92</v>
      </c>
      <c r="K27" s="3"/>
    </row>
    <row r="28" spans="2:11" x14ac:dyDescent="0.2">
      <c r="B28" s="1" t="s">
        <v>28</v>
      </c>
      <c r="C28" s="18">
        <f t="shared" si="1"/>
        <v>326</v>
      </c>
      <c r="D28" s="43">
        <f t="shared" si="1"/>
        <v>243</v>
      </c>
      <c r="E28" s="5">
        <v>269</v>
      </c>
      <c r="F28" s="5">
        <v>104</v>
      </c>
      <c r="G28" s="5">
        <v>33</v>
      </c>
      <c r="H28" s="5">
        <v>121</v>
      </c>
      <c r="I28" s="5">
        <v>24</v>
      </c>
      <c r="J28" s="5">
        <v>18</v>
      </c>
      <c r="K28" s="3"/>
    </row>
    <row r="29" spans="2:11" x14ac:dyDescent="0.2">
      <c r="B29" s="1" t="s">
        <v>29</v>
      </c>
      <c r="C29" s="18">
        <f t="shared" si="1"/>
        <v>207</v>
      </c>
      <c r="D29" s="43">
        <f t="shared" si="1"/>
        <v>306</v>
      </c>
      <c r="E29" s="5">
        <v>183</v>
      </c>
      <c r="F29" s="5">
        <v>187</v>
      </c>
      <c r="G29" s="5">
        <v>12</v>
      </c>
      <c r="H29" s="5">
        <v>82</v>
      </c>
      <c r="I29" s="5">
        <v>12</v>
      </c>
      <c r="J29" s="5">
        <v>37</v>
      </c>
      <c r="K29" s="3"/>
    </row>
    <row r="30" spans="2:11" x14ac:dyDescent="0.2">
      <c r="B30" s="1" t="s">
        <v>30</v>
      </c>
      <c r="C30" s="18">
        <f t="shared" si="1"/>
        <v>204</v>
      </c>
      <c r="D30" s="43">
        <f t="shared" si="1"/>
        <v>325</v>
      </c>
      <c r="E30" s="5">
        <v>141</v>
      </c>
      <c r="F30" s="5">
        <v>153</v>
      </c>
      <c r="G30" s="5">
        <v>45</v>
      </c>
      <c r="H30" s="5">
        <v>135</v>
      </c>
      <c r="I30" s="5">
        <v>18</v>
      </c>
      <c r="J30" s="5">
        <v>37</v>
      </c>
      <c r="K30" s="3"/>
    </row>
    <row r="31" spans="2:11" x14ac:dyDescent="0.2">
      <c r="B31" s="1" t="s">
        <v>31</v>
      </c>
      <c r="C31" s="18">
        <f t="shared" si="1"/>
        <v>306</v>
      </c>
      <c r="D31" s="43">
        <f t="shared" si="1"/>
        <v>272</v>
      </c>
      <c r="E31" s="5">
        <v>245</v>
      </c>
      <c r="F31" s="5">
        <v>165</v>
      </c>
      <c r="G31" s="5">
        <v>41</v>
      </c>
      <c r="H31" s="5">
        <v>93</v>
      </c>
      <c r="I31" s="5">
        <v>20</v>
      </c>
      <c r="J31" s="5">
        <v>14</v>
      </c>
      <c r="K31" s="3"/>
    </row>
    <row r="32" spans="2:11" x14ac:dyDescent="0.2">
      <c r="C32" s="10"/>
      <c r="K32" s="3"/>
    </row>
    <row r="33" spans="1:11" x14ac:dyDescent="0.2">
      <c r="B33" s="1" t="s">
        <v>32</v>
      </c>
      <c r="C33" s="18">
        <f t="shared" ref="C33:D37" si="2">E33+G33+I33</f>
        <v>242</v>
      </c>
      <c r="D33" s="43">
        <f t="shared" si="2"/>
        <v>279</v>
      </c>
      <c r="E33" s="5">
        <v>211</v>
      </c>
      <c r="F33" s="5">
        <v>177</v>
      </c>
      <c r="G33" s="5">
        <v>21</v>
      </c>
      <c r="H33" s="5">
        <v>84</v>
      </c>
      <c r="I33" s="5">
        <v>10</v>
      </c>
      <c r="J33" s="5">
        <v>18</v>
      </c>
      <c r="K33" s="3"/>
    </row>
    <row r="34" spans="1:11" x14ac:dyDescent="0.2">
      <c r="B34" s="1" t="s">
        <v>33</v>
      </c>
      <c r="C34" s="18">
        <f t="shared" si="2"/>
        <v>361</v>
      </c>
      <c r="D34" s="43">
        <f t="shared" si="2"/>
        <v>291</v>
      </c>
      <c r="E34" s="5">
        <v>311</v>
      </c>
      <c r="F34" s="5">
        <v>171</v>
      </c>
      <c r="G34" s="5">
        <v>24</v>
      </c>
      <c r="H34" s="5">
        <v>97</v>
      </c>
      <c r="I34" s="5">
        <v>26</v>
      </c>
      <c r="J34" s="5">
        <v>23</v>
      </c>
      <c r="K34" s="3"/>
    </row>
    <row r="35" spans="1:11" x14ac:dyDescent="0.2">
      <c r="B35" s="1" t="s">
        <v>34</v>
      </c>
      <c r="C35" s="18">
        <f t="shared" si="2"/>
        <v>650</v>
      </c>
      <c r="D35" s="43">
        <f t="shared" si="2"/>
        <v>556</v>
      </c>
      <c r="E35" s="5">
        <v>531</v>
      </c>
      <c r="F35" s="5">
        <v>244</v>
      </c>
      <c r="G35" s="5">
        <v>53</v>
      </c>
      <c r="H35" s="5">
        <v>227</v>
      </c>
      <c r="I35" s="5">
        <v>66</v>
      </c>
      <c r="J35" s="5">
        <v>85</v>
      </c>
      <c r="K35" s="3"/>
    </row>
    <row r="36" spans="1:11" x14ac:dyDescent="0.2">
      <c r="B36" s="1" t="s">
        <v>35</v>
      </c>
      <c r="C36" s="18">
        <f t="shared" si="2"/>
        <v>98</v>
      </c>
      <c r="D36" s="43">
        <f t="shared" si="2"/>
        <v>188</v>
      </c>
      <c r="E36" s="5">
        <v>87</v>
      </c>
      <c r="F36" s="5">
        <v>148</v>
      </c>
      <c r="G36" s="5">
        <v>9</v>
      </c>
      <c r="H36" s="5">
        <v>36</v>
      </c>
      <c r="I36" s="5">
        <v>2</v>
      </c>
      <c r="J36" s="5">
        <v>4</v>
      </c>
      <c r="K36" s="3"/>
    </row>
    <row r="37" spans="1:11" x14ac:dyDescent="0.2">
      <c r="A37" s="1" t="s">
        <v>18</v>
      </c>
      <c r="B37" s="1" t="s">
        <v>36</v>
      </c>
      <c r="C37" s="18">
        <f t="shared" si="2"/>
        <v>200</v>
      </c>
      <c r="D37" s="43">
        <f t="shared" si="2"/>
        <v>370</v>
      </c>
      <c r="E37" s="5">
        <v>178</v>
      </c>
      <c r="F37" s="5">
        <v>163</v>
      </c>
      <c r="G37" s="5">
        <v>12</v>
      </c>
      <c r="H37" s="5">
        <v>189</v>
      </c>
      <c r="I37" s="5">
        <v>10</v>
      </c>
      <c r="J37" s="5">
        <v>18</v>
      </c>
      <c r="K37" s="3"/>
    </row>
    <row r="38" spans="1:11" ht="18" thickBot="1" x14ac:dyDescent="0.25">
      <c r="B38" s="6"/>
      <c r="C38" s="23"/>
      <c r="D38" s="8"/>
      <c r="E38" s="8"/>
      <c r="F38" s="6"/>
      <c r="G38" s="8"/>
      <c r="H38" s="8"/>
      <c r="I38" s="8"/>
      <c r="J38" s="8"/>
      <c r="K38" s="3"/>
    </row>
    <row r="39" spans="1:11" x14ac:dyDescent="0.2">
      <c r="B39" s="1" t="s">
        <v>37</v>
      </c>
      <c r="C39" s="3"/>
      <c r="D39" s="5"/>
      <c r="E39" s="5"/>
      <c r="G39" s="5"/>
      <c r="H39" s="5"/>
      <c r="I39" s="5"/>
      <c r="J39" s="5"/>
      <c r="K39" s="3"/>
    </row>
    <row r="40" spans="1:11" x14ac:dyDescent="0.2">
      <c r="K40" s="3"/>
    </row>
    <row r="41" spans="1:11" x14ac:dyDescent="0.2">
      <c r="K41" s="3"/>
    </row>
    <row r="42" spans="1:11" x14ac:dyDescent="0.2">
      <c r="K42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5"/>
  <sheetViews>
    <sheetView showGridLines="0" zoomScale="75" workbookViewId="0">
      <selection activeCell="O21" sqref="O2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6" width="14.625" style="2" customWidth="1"/>
    <col min="7" max="7" width="13.375" style="2"/>
    <col min="8" max="8" width="14.625" style="2" customWidth="1"/>
    <col min="9" max="256" width="13.375" style="2"/>
    <col min="257" max="257" width="13.375" style="2" customWidth="1"/>
    <col min="258" max="258" width="18.375" style="2" customWidth="1"/>
    <col min="259" max="262" width="14.625" style="2" customWidth="1"/>
    <col min="263" max="263" width="13.375" style="2"/>
    <col min="264" max="264" width="14.625" style="2" customWidth="1"/>
    <col min="265" max="512" width="13.375" style="2"/>
    <col min="513" max="513" width="13.375" style="2" customWidth="1"/>
    <col min="514" max="514" width="18.375" style="2" customWidth="1"/>
    <col min="515" max="518" width="14.625" style="2" customWidth="1"/>
    <col min="519" max="519" width="13.375" style="2"/>
    <col min="520" max="520" width="14.625" style="2" customWidth="1"/>
    <col min="521" max="768" width="13.375" style="2"/>
    <col min="769" max="769" width="13.375" style="2" customWidth="1"/>
    <col min="770" max="770" width="18.375" style="2" customWidth="1"/>
    <col min="771" max="774" width="14.625" style="2" customWidth="1"/>
    <col min="775" max="775" width="13.375" style="2"/>
    <col min="776" max="776" width="14.625" style="2" customWidth="1"/>
    <col min="777" max="1024" width="13.375" style="2"/>
    <col min="1025" max="1025" width="13.375" style="2" customWidth="1"/>
    <col min="1026" max="1026" width="18.375" style="2" customWidth="1"/>
    <col min="1027" max="1030" width="14.625" style="2" customWidth="1"/>
    <col min="1031" max="1031" width="13.375" style="2"/>
    <col min="1032" max="1032" width="14.625" style="2" customWidth="1"/>
    <col min="1033" max="1280" width="13.375" style="2"/>
    <col min="1281" max="1281" width="13.375" style="2" customWidth="1"/>
    <col min="1282" max="1282" width="18.375" style="2" customWidth="1"/>
    <col min="1283" max="1286" width="14.625" style="2" customWidth="1"/>
    <col min="1287" max="1287" width="13.375" style="2"/>
    <col min="1288" max="1288" width="14.625" style="2" customWidth="1"/>
    <col min="1289" max="1536" width="13.375" style="2"/>
    <col min="1537" max="1537" width="13.375" style="2" customWidth="1"/>
    <col min="1538" max="1538" width="18.375" style="2" customWidth="1"/>
    <col min="1539" max="1542" width="14.625" style="2" customWidth="1"/>
    <col min="1543" max="1543" width="13.375" style="2"/>
    <col min="1544" max="1544" width="14.625" style="2" customWidth="1"/>
    <col min="1545" max="1792" width="13.375" style="2"/>
    <col min="1793" max="1793" width="13.375" style="2" customWidth="1"/>
    <col min="1794" max="1794" width="18.375" style="2" customWidth="1"/>
    <col min="1795" max="1798" width="14.625" style="2" customWidth="1"/>
    <col min="1799" max="1799" width="13.375" style="2"/>
    <col min="1800" max="1800" width="14.625" style="2" customWidth="1"/>
    <col min="1801" max="2048" width="13.375" style="2"/>
    <col min="2049" max="2049" width="13.375" style="2" customWidth="1"/>
    <col min="2050" max="2050" width="18.375" style="2" customWidth="1"/>
    <col min="2051" max="2054" width="14.625" style="2" customWidth="1"/>
    <col min="2055" max="2055" width="13.375" style="2"/>
    <col min="2056" max="2056" width="14.625" style="2" customWidth="1"/>
    <col min="2057" max="2304" width="13.375" style="2"/>
    <col min="2305" max="2305" width="13.375" style="2" customWidth="1"/>
    <col min="2306" max="2306" width="18.375" style="2" customWidth="1"/>
    <col min="2307" max="2310" width="14.625" style="2" customWidth="1"/>
    <col min="2311" max="2311" width="13.375" style="2"/>
    <col min="2312" max="2312" width="14.625" style="2" customWidth="1"/>
    <col min="2313" max="2560" width="13.375" style="2"/>
    <col min="2561" max="2561" width="13.375" style="2" customWidth="1"/>
    <col min="2562" max="2562" width="18.375" style="2" customWidth="1"/>
    <col min="2563" max="2566" width="14.625" style="2" customWidth="1"/>
    <col min="2567" max="2567" width="13.375" style="2"/>
    <col min="2568" max="2568" width="14.625" style="2" customWidth="1"/>
    <col min="2569" max="2816" width="13.375" style="2"/>
    <col min="2817" max="2817" width="13.375" style="2" customWidth="1"/>
    <col min="2818" max="2818" width="18.375" style="2" customWidth="1"/>
    <col min="2819" max="2822" width="14.625" style="2" customWidth="1"/>
    <col min="2823" max="2823" width="13.375" style="2"/>
    <col min="2824" max="2824" width="14.625" style="2" customWidth="1"/>
    <col min="2825" max="3072" width="13.375" style="2"/>
    <col min="3073" max="3073" width="13.375" style="2" customWidth="1"/>
    <col min="3074" max="3074" width="18.375" style="2" customWidth="1"/>
    <col min="3075" max="3078" width="14.625" style="2" customWidth="1"/>
    <col min="3079" max="3079" width="13.375" style="2"/>
    <col min="3080" max="3080" width="14.625" style="2" customWidth="1"/>
    <col min="3081" max="3328" width="13.375" style="2"/>
    <col min="3329" max="3329" width="13.375" style="2" customWidth="1"/>
    <col min="3330" max="3330" width="18.375" style="2" customWidth="1"/>
    <col min="3331" max="3334" width="14.625" style="2" customWidth="1"/>
    <col min="3335" max="3335" width="13.375" style="2"/>
    <col min="3336" max="3336" width="14.625" style="2" customWidth="1"/>
    <col min="3337" max="3584" width="13.375" style="2"/>
    <col min="3585" max="3585" width="13.375" style="2" customWidth="1"/>
    <col min="3586" max="3586" width="18.375" style="2" customWidth="1"/>
    <col min="3587" max="3590" width="14.625" style="2" customWidth="1"/>
    <col min="3591" max="3591" width="13.375" style="2"/>
    <col min="3592" max="3592" width="14.625" style="2" customWidth="1"/>
    <col min="3593" max="3840" width="13.375" style="2"/>
    <col min="3841" max="3841" width="13.375" style="2" customWidth="1"/>
    <col min="3842" max="3842" width="18.375" style="2" customWidth="1"/>
    <col min="3843" max="3846" width="14.625" style="2" customWidth="1"/>
    <col min="3847" max="3847" width="13.375" style="2"/>
    <col min="3848" max="3848" width="14.625" style="2" customWidth="1"/>
    <col min="3849" max="4096" width="13.375" style="2"/>
    <col min="4097" max="4097" width="13.375" style="2" customWidth="1"/>
    <col min="4098" max="4098" width="18.375" style="2" customWidth="1"/>
    <col min="4099" max="4102" width="14.625" style="2" customWidth="1"/>
    <col min="4103" max="4103" width="13.375" style="2"/>
    <col min="4104" max="4104" width="14.625" style="2" customWidth="1"/>
    <col min="4105" max="4352" width="13.375" style="2"/>
    <col min="4353" max="4353" width="13.375" style="2" customWidth="1"/>
    <col min="4354" max="4354" width="18.375" style="2" customWidth="1"/>
    <col min="4355" max="4358" width="14.625" style="2" customWidth="1"/>
    <col min="4359" max="4359" width="13.375" style="2"/>
    <col min="4360" max="4360" width="14.625" style="2" customWidth="1"/>
    <col min="4361" max="4608" width="13.375" style="2"/>
    <col min="4609" max="4609" width="13.375" style="2" customWidth="1"/>
    <col min="4610" max="4610" width="18.375" style="2" customWidth="1"/>
    <col min="4611" max="4614" width="14.625" style="2" customWidth="1"/>
    <col min="4615" max="4615" width="13.375" style="2"/>
    <col min="4616" max="4616" width="14.625" style="2" customWidth="1"/>
    <col min="4617" max="4864" width="13.375" style="2"/>
    <col min="4865" max="4865" width="13.375" style="2" customWidth="1"/>
    <col min="4866" max="4866" width="18.375" style="2" customWidth="1"/>
    <col min="4867" max="4870" width="14.625" style="2" customWidth="1"/>
    <col min="4871" max="4871" width="13.375" style="2"/>
    <col min="4872" max="4872" width="14.625" style="2" customWidth="1"/>
    <col min="4873" max="5120" width="13.375" style="2"/>
    <col min="5121" max="5121" width="13.375" style="2" customWidth="1"/>
    <col min="5122" max="5122" width="18.375" style="2" customWidth="1"/>
    <col min="5123" max="5126" width="14.625" style="2" customWidth="1"/>
    <col min="5127" max="5127" width="13.375" style="2"/>
    <col min="5128" max="5128" width="14.625" style="2" customWidth="1"/>
    <col min="5129" max="5376" width="13.375" style="2"/>
    <col min="5377" max="5377" width="13.375" style="2" customWidth="1"/>
    <col min="5378" max="5378" width="18.375" style="2" customWidth="1"/>
    <col min="5379" max="5382" width="14.625" style="2" customWidth="1"/>
    <col min="5383" max="5383" width="13.375" style="2"/>
    <col min="5384" max="5384" width="14.625" style="2" customWidth="1"/>
    <col min="5385" max="5632" width="13.375" style="2"/>
    <col min="5633" max="5633" width="13.375" style="2" customWidth="1"/>
    <col min="5634" max="5634" width="18.375" style="2" customWidth="1"/>
    <col min="5635" max="5638" width="14.625" style="2" customWidth="1"/>
    <col min="5639" max="5639" width="13.375" style="2"/>
    <col min="5640" max="5640" width="14.625" style="2" customWidth="1"/>
    <col min="5641" max="5888" width="13.375" style="2"/>
    <col min="5889" max="5889" width="13.375" style="2" customWidth="1"/>
    <col min="5890" max="5890" width="18.375" style="2" customWidth="1"/>
    <col min="5891" max="5894" width="14.625" style="2" customWidth="1"/>
    <col min="5895" max="5895" width="13.375" style="2"/>
    <col min="5896" max="5896" width="14.625" style="2" customWidth="1"/>
    <col min="5897" max="6144" width="13.375" style="2"/>
    <col min="6145" max="6145" width="13.375" style="2" customWidth="1"/>
    <col min="6146" max="6146" width="18.375" style="2" customWidth="1"/>
    <col min="6147" max="6150" width="14.625" style="2" customWidth="1"/>
    <col min="6151" max="6151" width="13.375" style="2"/>
    <col min="6152" max="6152" width="14.625" style="2" customWidth="1"/>
    <col min="6153" max="6400" width="13.375" style="2"/>
    <col min="6401" max="6401" width="13.375" style="2" customWidth="1"/>
    <col min="6402" max="6402" width="18.375" style="2" customWidth="1"/>
    <col min="6403" max="6406" width="14.625" style="2" customWidth="1"/>
    <col min="6407" max="6407" width="13.375" style="2"/>
    <col min="6408" max="6408" width="14.625" style="2" customWidth="1"/>
    <col min="6409" max="6656" width="13.375" style="2"/>
    <col min="6657" max="6657" width="13.375" style="2" customWidth="1"/>
    <col min="6658" max="6658" width="18.375" style="2" customWidth="1"/>
    <col min="6659" max="6662" width="14.625" style="2" customWidth="1"/>
    <col min="6663" max="6663" width="13.375" style="2"/>
    <col min="6664" max="6664" width="14.625" style="2" customWidth="1"/>
    <col min="6665" max="6912" width="13.375" style="2"/>
    <col min="6913" max="6913" width="13.375" style="2" customWidth="1"/>
    <col min="6914" max="6914" width="18.375" style="2" customWidth="1"/>
    <col min="6915" max="6918" width="14.625" style="2" customWidth="1"/>
    <col min="6919" max="6919" width="13.375" style="2"/>
    <col min="6920" max="6920" width="14.625" style="2" customWidth="1"/>
    <col min="6921" max="7168" width="13.375" style="2"/>
    <col min="7169" max="7169" width="13.375" style="2" customWidth="1"/>
    <col min="7170" max="7170" width="18.375" style="2" customWidth="1"/>
    <col min="7171" max="7174" width="14.625" style="2" customWidth="1"/>
    <col min="7175" max="7175" width="13.375" style="2"/>
    <col min="7176" max="7176" width="14.625" style="2" customWidth="1"/>
    <col min="7177" max="7424" width="13.375" style="2"/>
    <col min="7425" max="7425" width="13.375" style="2" customWidth="1"/>
    <col min="7426" max="7426" width="18.375" style="2" customWidth="1"/>
    <col min="7427" max="7430" width="14.625" style="2" customWidth="1"/>
    <col min="7431" max="7431" width="13.375" style="2"/>
    <col min="7432" max="7432" width="14.625" style="2" customWidth="1"/>
    <col min="7433" max="7680" width="13.375" style="2"/>
    <col min="7681" max="7681" width="13.375" style="2" customWidth="1"/>
    <col min="7682" max="7682" width="18.375" style="2" customWidth="1"/>
    <col min="7683" max="7686" width="14.625" style="2" customWidth="1"/>
    <col min="7687" max="7687" width="13.375" style="2"/>
    <col min="7688" max="7688" width="14.625" style="2" customWidth="1"/>
    <col min="7689" max="7936" width="13.375" style="2"/>
    <col min="7937" max="7937" width="13.375" style="2" customWidth="1"/>
    <col min="7938" max="7938" width="18.375" style="2" customWidth="1"/>
    <col min="7939" max="7942" width="14.625" style="2" customWidth="1"/>
    <col min="7943" max="7943" width="13.375" style="2"/>
    <col min="7944" max="7944" width="14.625" style="2" customWidth="1"/>
    <col min="7945" max="8192" width="13.375" style="2"/>
    <col min="8193" max="8193" width="13.375" style="2" customWidth="1"/>
    <col min="8194" max="8194" width="18.375" style="2" customWidth="1"/>
    <col min="8195" max="8198" width="14.625" style="2" customWidth="1"/>
    <col min="8199" max="8199" width="13.375" style="2"/>
    <col min="8200" max="8200" width="14.625" style="2" customWidth="1"/>
    <col min="8201" max="8448" width="13.375" style="2"/>
    <col min="8449" max="8449" width="13.375" style="2" customWidth="1"/>
    <col min="8450" max="8450" width="18.375" style="2" customWidth="1"/>
    <col min="8451" max="8454" width="14.625" style="2" customWidth="1"/>
    <col min="8455" max="8455" width="13.375" style="2"/>
    <col min="8456" max="8456" width="14.625" style="2" customWidth="1"/>
    <col min="8457" max="8704" width="13.375" style="2"/>
    <col min="8705" max="8705" width="13.375" style="2" customWidth="1"/>
    <col min="8706" max="8706" width="18.375" style="2" customWidth="1"/>
    <col min="8707" max="8710" width="14.625" style="2" customWidth="1"/>
    <col min="8711" max="8711" width="13.375" style="2"/>
    <col min="8712" max="8712" width="14.625" style="2" customWidth="1"/>
    <col min="8713" max="8960" width="13.375" style="2"/>
    <col min="8961" max="8961" width="13.375" style="2" customWidth="1"/>
    <col min="8962" max="8962" width="18.375" style="2" customWidth="1"/>
    <col min="8963" max="8966" width="14.625" style="2" customWidth="1"/>
    <col min="8967" max="8967" width="13.375" style="2"/>
    <col min="8968" max="8968" width="14.625" style="2" customWidth="1"/>
    <col min="8969" max="9216" width="13.375" style="2"/>
    <col min="9217" max="9217" width="13.375" style="2" customWidth="1"/>
    <col min="9218" max="9218" width="18.375" style="2" customWidth="1"/>
    <col min="9219" max="9222" width="14.625" style="2" customWidth="1"/>
    <col min="9223" max="9223" width="13.375" style="2"/>
    <col min="9224" max="9224" width="14.625" style="2" customWidth="1"/>
    <col min="9225" max="9472" width="13.375" style="2"/>
    <col min="9473" max="9473" width="13.375" style="2" customWidth="1"/>
    <col min="9474" max="9474" width="18.375" style="2" customWidth="1"/>
    <col min="9475" max="9478" width="14.625" style="2" customWidth="1"/>
    <col min="9479" max="9479" width="13.375" style="2"/>
    <col min="9480" max="9480" width="14.625" style="2" customWidth="1"/>
    <col min="9481" max="9728" width="13.375" style="2"/>
    <col min="9729" max="9729" width="13.375" style="2" customWidth="1"/>
    <col min="9730" max="9730" width="18.375" style="2" customWidth="1"/>
    <col min="9731" max="9734" width="14.625" style="2" customWidth="1"/>
    <col min="9735" max="9735" width="13.375" style="2"/>
    <col min="9736" max="9736" width="14.625" style="2" customWidth="1"/>
    <col min="9737" max="9984" width="13.375" style="2"/>
    <col min="9985" max="9985" width="13.375" style="2" customWidth="1"/>
    <col min="9986" max="9986" width="18.375" style="2" customWidth="1"/>
    <col min="9987" max="9990" width="14.625" style="2" customWidth="1"/>
    <col min="9991" max="9991" width="13.375" style="2"/>
    <col min="9992" max="9992" width="14.625" style="2" customWidth="1"/>
    <col min="9993" max="10240" width="13.375" style="2"/>
    <col min="10241" max="10241" width="13.375" style="2" customWidth="1"/>
    <col min="10242" max="10242" width="18.375" style="2" customWidth="1"/>
    <col min="10243" max="10246" width="14.625" style="2" customWidth="1"/>
    <col min="10247" max="10247" width="13.375" style="2"/>
    <col min="10248" max="10248" width="14.625" style="2" customWidth="1"/>
    <col min="10249" max="10496" width="13.375" style="2"/>
    <col min="10497" max="10497" width="13.375" style="2" customWidth="1"/>
    <col min="10498" max="10498" width="18.375" style="2" customWidth="1"/>
    <col min="10499" max="10502" width="14.625" style="2" customWidth="1"/>
    <col min="10503" max="10503" width="13.375" style="2"/>
    <col min="10504" max="10504" width="14.625" style="2" customWidth="1"/>
    <col min="10505" max="10752" width="13.375" style="2"/>
    <col min="10753" max="10753" width="13.375" style="2" customWidth="1"/>
    <col min="10754" max="10754" width="18.375" style="2" customWidth="1"/>
    <col min="10755" max="10758" width="14.625" style="2" customWidth="1"/>
    <col min="10759" max="10759" width="13.375" style="2"/>
    <col min="10760" max="10760" width="14.625" style="2" customWidth="1"/>
    <col min="10761" max="11008" width="13.375" style="2"/>
    <col min="11009" max="11009" width="13.375" style="2" customWidth="1"/>
    <col min="11010" max="11010" width="18.375" style="2" customWidth="1"/>
    <col min="11011" max="11014" width="14.625" style="2" customWidth="1"/>
    <col min="11015" max="11015" width="13.375" style="2"/>
    <col min="11016" max="11016" width="14.625" style="2" customWidth="1"/>
    <col min="11017" max="11264" width="13.375" style="2"/>
    <col min="11265" max="11265" width="13.375" style="2" customWidth="1"/>
    <col min="11266" max="11266" width="18.375" style="2" customWidth="1"/>
    <col min="11267" max="11270" width="14.625" style="2" customWidth="1"/>
    <col min="11271" max="11271" width="13.375" style="2"/>
    <col min="11272" max="11272" width="14.625" style="2" customWidth="1"/>
    <col min="11273" max="11520" width="13.375" style="2"/>
    <col min="11521" max="11521" width="13.375" style="2" customWidth="1"/>
    <col min="11522" max="11522" width="18.375" style="2" customWidth="1"/>
    <col min="11523" max="11526" width="14.625" style="2" customWidth="1"/>
    <col min="11527" max="11527" width="13.375" style="2"/>
    <col min="11528" max="11528" width="14.625" style="2" customWidth="1"/>
    <col min="11529" max="11776" width="13.375" style="2"/>
    <col min="11777" max="11777" width="13.375" style="2" customWidth="1"/>
    <col min="11778" max="11778" width="18.375" style="2" customWidth="1"/>
    <col min="11779" max="11782" width="14.625" style="2" customWidth="1"/>
    <col min="11783" max="11783" width="13.375" style="2"/>
    <col min="11784" max="11784" width="14.625" style="2" customWidth="1"/>
    <col min="11785" max="12032" width="13.375" style="2"/>
    <col min="12033" max="12033" width="13.375" style="2" customWidth="1"/>
    <col min="12034" max="12034" width="18.375" style="2" customWidth="1"/>
    <col min="12035" max="12038" width="14.625" style="2" customWidth="1"/>
    <col min="12039" max="12039" width="13.375" style="2"/>
    <col min="12040" max="12040" width="14.625" style="2" customWidth="1"/>
    <col min="12041" max="12288" width="13.375" style="2"/>
    <col min="12289" max="12289" width="13.375" style="2" customWidth="1"/>
    <col min="12290" max="12290" width="18.375" style="2" customWidth="1"/>
    <col min="12291" max="12294" width="14.625" style="2" customWidth="1"/>
    <col min="12295" max="12295" width="13.375" style="2"/>
    <col min="12296" max="12296" width="14.625" style="2" customWidth="1"/>
    <col min="12297" max="12544" width="13.375" style="2"/>
    <col min="12545" max="12545" width="13.375" style="2" customWidth="1"/>
    <col min="12546" max="12546" width="18.375" style="2" customWidth="1"/>
    <col min="12547" max="12550" width="14.625" style="2" customWidth="1"/>
    <col min="12551" max="12551" width="13.375" style="2"/>
    <col min="12552" max="12552" width="14.625" style="2" customWidth="1"/>
    <col min="12553" max="12800" width="13.375" style="2"/>
    <col min="12801" max="12801" width="13.375" style="2" customWidth="1"/>
    <col min="12802" max="12802" width="18.375" style="2" customWidth="1"/>
    <col min="12803" max="12806" width="14.625" style="2" customWidth="1"/>
    <col min="12807" max="12807" width="13.375" style="2"/>
    <col min="12808" max="12808" width="14.625" style="2" customWidth="1"/>
    <col min="12809" max="13056" width="13.375" style="2"/>
    <col min="13057" max="13057" width="13.375" style="2" customWidth="1"/>
    <col min="13058" max="13058" width="18.375" style="2" customWidth="1"/>
    <col min="13059" max="13062" width="14.625" style="2" customWidth="1"/>
    <col min="13063" max="13063" width="13.375" style="2"/>
    <col min="13064" max="13064" width="14.625" style="2" customWidth="1"/>
    <col min="13065" max="13312" width="13.375" style="2"/>
    <col min="13313" max="13313" width="13.375" style="2" customWidth="1"/>
    <col min="13314" max="13314" width="18.375" style="2" customWidth="1"/>
    <col min="13315" max="13318" width="14.625" style="2" customWidth="1"/>
    <col min="13319" max="13319" width="13.375" style="2"/>
    <col min="13320" max="13320" width="14.625" style="2" customWidth="1"/>
    <col min="13321" max="13568" width="13.375" style="2"/>
    <col min="13569" max="13569" width="13.375" style="2" customWidth="1"/>
    <col min="13570" max="13570" width="18.375" style="2" customWidth="1"/>
    <col min="13571" max="13574" width="14.625" style="2" customWidth="1"/>
    <col min="13575" max="13575" width="13.375" style="2"/>
    <col min="13576" max="13576" width="14.625" style="2" customWidth="1"/>
    <col min="13577" max="13824" width="13.375" style="2"/>
    <col min="13825" max="13825" width="13.375" style="2" customWidth="1"/>
    <col min="13826" max="13826" width="18.375" style="2" customWidth="1"/>
    <col min="13827" max="13830" width="14.625" style="2" customWidth="1"/>
    <col min="13831" max="13831" width="13.375" style="2"/>
    <col min="13832" max="13832" width="14.625" style="2" customWidth="1"/>
    <col min="13833" max="14080" width="13.375" style="2"/>
    <col min="14081" max="14081" width="13.375" style="2" customWidth="1"/>
    <col min="14082" max="14082" width="18.375" style="2" customWidth="1"/>
    <col min="14083" max="14086" width="14.625" style="2" customWidth="1"/>
    <col min="14087" max="14087" width="13.375" style="2"/>
    <col min="14088" max="14088" width="14.625" style="2" customWidth="1"/>
    <col min="14089" max="14336" width="13.375" style="2"/>
    <col min="14337" max="14337" width="13.375" style="2" customWidth="1"/>
    <col min="14338" max="14338" width="18.375" style="2" customWidth="1"/>
    <col min="14339" max="14342" width="14.625" style="2" customWidth="1"/>
    <col min="14343" max="14343" width="13.375" style="2"/>
    <col min="14344" max="14344" width="14.625" style="2" customWidth="1"/>
    <col min="14345" max="14592" width="13.375" style="2"/>
    <col min="14593" max="14593" width="13.375" style="2" customWidth="1"/>
    <col min="14594" max="14594" width="18.375" style="2" customWidth="1"/>
    <col min="14595" max="14598" width="14.625" style="2" customWidth="1"/>
    <col min="14599" max="14599" width="13.375" style="2"/>
    <col min="14600" max="14600" width="14.625" style="2" customWidth="1"/>
    <col min="14601" max="14848" width="13.375" style="2"/>
    <col min="14849" max="14849" width="13.375" style="2" customWidth="1"/>
    <col min="14850" max="14850" width="18.375" style="2" customWidth="1"/>
    <col min="14851" max="14854" width="14.625" style="2" customWidth="1"/>
    <col min="14855" max="14855" width="13.375" style="2"/>
    <col min="14856" max="14856" width="14.625" style="2" customWidth="1"/>
    <col min="14857" max="15104" width="13.375" style="2"/>
    <col min="15105" max="15105" width="13.375" style="2" customWidth="1"/>
    <col min="15106" max="15106" width="18.375" style="2" customWidth="1"/>
    <col min="15107" max="15110" width="14.625" style="2" customWidth="1"/>
    <col min="15111" max="15111" width="13.375" style="2"/>
    <col min="15112" max="15112" width="14.625" style="2" customWidth="1"/>
    <col min="15113" max="15360" width="13.375" style="2"/>
    <col min="15361" max="15361" width="13.375" style="2" customWidth="1"/>
    <col min="15362" max="15362" width="18.375" style="2" customWidth="1"/>
    <col min="15363" max="15366" width="14.625" style="2" customWidth="1"/>
    <col min="15367" max="15367" width="13.375" style="2"/>
    <col min="15368" max="15368" width="14.625" style="2" customWidth="1"/>
    <col min="15369" max="15616" width="13.375" style="2"/>
    <col min="15617" max="15617" width="13.375" style="2" customWidth="1"/>
    <col min="15618" max="15618" width="18.375" style="2" customWidth="1"/>
    <col min="15619" max="15622" width="14.625" style="2" customWidth="1"/>
    <col min="15623" max="15623" width="13.375" style="2"/>
    <col min="15624" max="15624" width="14.625" style="2" customWidth="1"/>
    <col min="15625" max="15872" width="13.375" style="2"/>
    <col min="15873" max="15873" width="13.375" style="2" customWidth="1"/>
    <col min="15874" max="15874" width="18.375" style="2" customWidth="1"/>
    <col min="15875" max="15878" width="14.625" style="2" customWidth="1"/>
    <col min="15879" max="15879" width="13.375" style="2"/>
    <col min="15880" max="15880" width="14.625" style="2" customWidth="1"/>
    <col min="15881" max="16128" width="13.375" style="2"/>
    <col min="16129" max="16129" width="13.375" style="2" customWidth="1"/>
    <col min="16130" max="16130" width="18.375" style="2" customWidth="1"/>
    <col min="16131" max="16134" width="14.625" style="2" customWidth="1"/>
    <col min="16135" max="16135" width="13.375" style="2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C6" s="3"/>
      <c r="E6" s="4" t="s">
        <v>0</v>
      </c>
      <c r="G6" s="5"/>
      <c r="H6" s="5"/>
      <c r="I6" s="5"/>
      <c r="J6" s="5"/>
      <c r="K6" s="3"/>
    </row>
    <row r="7" spans="1:11" ht="18" thickBot="1" x14ac:dyDescent="0.25">
      <c r="B7" s="6"/>
      <c r="C7" s="6"/>
      <c r="D7" s="6"/>
      <c r="E7" s="7" t="s">
        <v>1</v>
      </c>
      <c r="F7" s="6"/>
      <c r="G7" s="8"/>
      <c r="H7" s="8"/>
      <c r="I7" s="8"/>
      <c r="J7" s="9" t="s">
        <v>2</v>
      </c>
      <c r="K7" s="3"/>
    </row>
    <row r="8" spans="1:11" x14ac:dyDescent="0.2">
      <c r="C8" s="10"/>
      <c r="D8" s="11"/>
      <c r="E8" s="11"/>
      <c r="F8" s="12"/>
      <c r="G8" s="11"/>
      <c r="H8" s="11"/>
      <c r="I8" s="11"/>
      <c r="J8" s="11"/>
      <c r="K8" s="3"/>
    </row>
    <row r="9" spans="1:11" x14ac:dyDescent="0.2">
      <c r="B9" s="1" t="s">
        <v>3</v>
      </c>
      <c r="C9" s="13" t="s">
        <v>4</v>
      </c>
      <c r="D9" s="14"/>
      <c r="E9" s="15" t="s">
        <v>5</v>
      </c>
      <c r="F9" s="12"/>
      <c r="G9" s="10"/>
      <c r="H9" s="10"/>
      <c r="I9" s="10"/>
      <c r="J9" s="16" t="s">
        <v>6</v>
      </c>
      <c r="K9" s="3"/>
    </row>
    <row r="10" spans="1:11" x14ac:dyDescent="0.2">
      <c r="B10" s="12"/>
      <c r="C10" s="14"/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3"/>
    </row>
    <row r="11" spans="1:11" x14ac:dyDescent="0.2">
      <c r="C11" s="10"/>
      <c r="K11" s="3"/>
    </row>
    <row r="12" spans="1:11" x14ac:dyDescent="0.2">
      <c r="B12" s="1" t="s">
        <v>14</v>
      </c>
      <c r="C12" s="18">
        <f>D12+E12+F12+G12+H12+I12+J12</f>
        <v>222</v>
      </c>
      <c r="D12" s="5">
        <v>50</v>
      </c>
      <c r="E12" s="5">
        <v>8</v>
      </c>
      <c r="F12" s="5">
        <v>66</v>
      </c>
      <c r="G12" s="5">
        <v>55</v>
      </c>
      <c r="H12" s="5">
        <v>33</v>
      </c>
      <c r="I12" s="5">
        <v>3</v>
      </c>
      <c r="J12" s="5">
        <v>7</v>
      </c>
      <c r="K12" s="3"/>
    </row>
    <row r="13" spans="1:11" x14ac:dyDescent="0.2">
      <c r="B13" s="1" t="s">
        <v>15</v>
      </c>
      <c r="C13" s="18">
        <f>D13+E13+F13+G13+H13+I13+J13</f>
        <v>225</v>
      </c>
      <c r="D13" s="5">
        <v>52</v>
      </c>
      <c r="E13" s="5">
        <v>5</v>
      </c>
      <c r="F13" s="5">
        <v>36</v>
      </c>
      <c r="G13" s="5">
        <v>77</v>
      </c>
      <c r="H13" s="5">
        <v>34</v>
      </c>
      <c r="I13" s="5">
        <v>1</v>
      </c>
      <c r="J13" s="5">
        <v>20</v>
      </c>
      <c r="K13" s="3"/>
    </row>
    <row r="14" spans="1:11" x14ac:dyDescent="0.2">
      <c r="C14" s="10"/>
      <c r="D14" s="5"/>
      <c r="E14" s="5"/>
      <c r="F14" s="5"/>
      <c r="G14" s="5"/>
      <c r="H14" s="5"/>
      <c r="I14" s="5"/>
      <c r="J14" s="5"/>
      <c r="K14" s="3"/>
    </row>
    <row r="15" spans="1:11" x14ac:dyDescent="0.2">
      <c r="B15" s="1" t="s">
        <v>16</v>
      </c>
      <c r="C15" s="18">
        <f t="shared" ref="C15:C23" si="0">D15+E15+F15+G15+H15+I15+J15</f>
        <v>220</v>
      </c>
      <c r="D15" s="5">
        <v>59</v>
      </c>
      <c r="E15" s="5">
        <v>5</v>
      </c>
      <c r="F15" s="5">
        <v>31</v>
      </c>
      <c r="G15" s="5">
        <v>72</v>
      </c>
      <c r="H15" s="5">
        <v>33</v>
      </c>
      <c r="I15" s="5">
        <v>2</v>
      </c>
      <c r="J15" s="5">
        <v>18</v>
      </c>
      <c r="K15" s="3"/>
    </row>
    <row r="16" spans="1:11" x14ac:dyDescent="0.2">
      <c r="B16" s="1" t="s">
        <v>17</v>
      </c>
      <c r="C16" s="18">
        <f t="shared" si="0"/>
        <v>208</v>
      </c>
      <c r="D16" s="5">
        <v>52</v>
      </c>
      <c r="E16" s="5">
        <v>5</v>
      </c>
      <c r="F16" s="5">
        <v>26</v>
      </c>
      <c r="G16" s="5">
        <v>75</v>
      </c>
      <c r="H16" s="5">
        <v>34</v>
      </c>
      <c r="I16" s="5">
        <v>1</v>
      </c>
      <c r="J16" s="5">
        <v>15</v>
      </c>
      <c r="K16" s="3"/>
    </row>
    <row r="17" spans="1:11" x14ac:dyDescent="0.2">
      <c r="A17" s="1" t="s">
        <v>18</v>
      </c>
      <c r="B17" s="1" t="s">
        <v>19</v>
      </c>
      <c r="C17" s="18">
        <f t="shared" si="0"/>
        <v>217</v>
      </c>
      <c r="D17" s="5">
        <v>40</v>
      </c>
      <c r="E17" s="5">
        <v>2</v>
      </c>
      <c r="F17" s="5">
        <v>24</v>
      </c>
      <c r="G17" s="5">
        <v>94</v>
      </c>
      <c r="H17" s="5">
        <v>36</v>
      </c>
      <c r="I17" s="19" t="s">
        <v>20</v>
      </c>
      <c r="J17" s="5">
        <v>21</v>
      </c>
      <c r="K17" s="3"/>
    </row>
    <row r="18" spans="1:11" x14ac:dyDescent="0.2">
      <c r="B18" s="1" t="s">
        <v>21</v>
      </c>
      <c r="C18" s="18">
        <f t="shared" si="0"/>
        <v>170</v>
      </c>
      <c r="D18" s="5">
        <v>31</v>
      </c>
      <c r="E18" s="19" t="s">
        <v>20</v>
      </c>
      <c r="F18" s="5">
        <v>10</v>
      </c>
      <c r="G18" s="5">
        <v>94</v>
      </c>
      <c r="H18" s="5">
        <v>24</v>
      </c>
      <c r="I18" s="19" t="s">
        <v>20</v>
      </c>
      <c r="J18" s="5">
        <v>11</v>
      </c>
      <c r="K18" s="3"/>
    </row>
    <row r="19" spans="1:11" x14ac:dyDescent="0.2">
      <c r="B19" s="1" t="s">
        <v>22</v>
      </c>
      <c r="C19" s="18">
        <f t="shared" si="0"/>
        <v>196</v>
      </c>
      <c r="D19" s="5">
        <v>35</v>
      </c>
      <c r="E19" s="19" t="s">
        <v>20</v>
      </c>
      <c r="F19" s="5">
        <v>5</v>
      </c>
      <c r="G19" s="5">
        <v>125</v>
      </c>
      <c r="H19" s="5">
        <v>21</v>
      </c>
      <c r="I19" s="19" t="s">
        <v>20</v>
      </c>
      <c r="J19" s="5">
        <v>10</v>
      </c>
      <c r="K19" s="3"/>
    </row>
    <row r="20" spans="1:11" x14ac:dyDescent="0.2">
      <c r="B20" s="1" t="s">
        <v>23</v>
      </c>
      <c r="C20" s="18">
        <f t="shared" si="0"/>
        <v>185</v>
      </c>
      <c r="D20" s="5">
        <v>16</v>
      </c>
      <c r="E20" s="19" t="s">
        <v>20</v>
      </c>
      <c r="F20" s="5">
        <v>7</v>
      </c>
      <c r="G20" s="5">
        <v>133</v>
      </c>
      <c r="H20" s="5">
        <v>22</v>
      </c>
      <c r="I20" s="19" t="s">
        <v>20</v>
      </c>
      <c r="J20" s="5">
        <v>7</v>
      </c>
      <c r="K20" s="3"/>
    </row>
    <row r="21" spans="1:11" x14ac:dyDescent="0.2">
      <c r="B21" s="1" t="s">
        <v>24</v>
      </c>
      <c r="C21" s="18">
        <f t="shared" si="0"/>
        <v>189</v>
      </c>
      <c r="D21" s="5">
        <v>16</v>
      </c>
      <c r="E21" s="19" t="s">
        <v>20</v>
      </c>
      <c r="F21" s="5">
        <v>6</v>
      </c>
      <c r="G21" s="5">
        <v>134</v>
      </c>
      <c r="H21" s="5">
        <v>25</v>
      </c>
      <c r="I21" s="5">
        <v>1</v>
      </c>
      <c r="J21" s="5">
        <v>7</v>
      </c>
      <c r="K21" s="3"/>
    </row>
    <row r="22" spans="1:11" x14ac:dyDescent="0.2">
      <c r="B22" s="1" t="s">
        <v>25</v>
      </c>
      <c r="C22" s="18">
        <f t="shared" si="0"/>
        <v>189</v>
      </c>
      <c r="D22" s="5">
        <v>15</v>
      </c>
      <c r="E22" s="19" t="s">
        <v>20</v>
      </c>
      <c r="F22" s="5">
        <v>1</v>
      </c>
      <c r="G22" s="5">
        <v>140</v>
      </c>
      <c r="H22" s="5">
        <v>24</v>
      </c>
      <c r="I22" s="5">
        <v>1</v>
      </c>
      <c r="J22" s="5">
        <v>8</v>
      </c>
      <c r="K22" s="3"/>
    </row>
    <row r="23" spans="1:11" x14ac:dyDescent="0.2">
      <c r="B23" s="4" t="s">
        <v>26</v>
      </c>
      <c r="C23" s="20">
        <f t="shared" si="0"/>
        <v>204</v>
      </c>
      <c r="D23" s="21">
        <f t="shared" ref="D23:J23" si="1">SUM(D25:D35)</f>
        <v>14</v>
      </c>
      <c r="E23" s="22" t="s">
        <v>20</v>
      </c>
      <c r="F23" s="21">
        <f t="shared" si="1"/>
        <v>4</v>
      </c>
      <c r="G23" s="21">
        <f t="shared" si="1"/>
        <v>143</v>
      </c>
      <c r="H23" s="21">
        <f t="shared" si="1"/>
        <v>33</v>
      </c>
      <c r="I23" s="21">
        <f t="shared" si="1"/>
        <v>1</v>
      </c>
      <c r="J23" s="21">
        <f t="shared" si="1"/>
        <v>9</v>
      </c>
      <c r="K23" s="3"/>
    </row>
    <row r="24" spans="1:11" x14ac:dyDescent="0.2">
      <c r="C24" s="10"/>
      <c r="D24" s="5"/>
      <c r="E24" s="5"/>
      <c r="F24" s="5"/>
      <c r="G24" s="5"/>
      <c r="H24" s="5"/>
      <c r="I24" s="5"/>
      <c r="J24" s="5"/>
      <c r="K24" s="3"/>
    </row>
    <row r="25" spans="1:11" x14ac:dyDescent="0.2">
      <c r="B25" s="1" t="s">
        <v>27</v>
      </c>
      <c r="C25" s="18">
        <f>D25+E25+F25+G25+H25+I25+J25</f>
        <v>69</v>
      </c>
      <c r="D25" s="5">
        <v>4</v>
      </c>
      <c r="E25" s="19" t="s">
        <v>20</v>
      </c>
      <c r="F25" s="5">
        <v>1</v>
      </c>
      <c r="G25" s="5">
        <v>44</v>
      </c>
      <c r="H25" s="5">
        <v>13</v>
      </c>
      <c r="I25" s="5">
        <v>1</v>
      </c>
      <c r="J25" s="5">
        <v>6</v>
      </c>
      <c r="K25" s="3"/>
    </row>
    <row r="26" spans="1:11" x14ac:dyDescent="0.2">
      <c r="B26" s="1" t="s">
        <v>28</v>
      </c>
      <c r="C26" s="18">
        <f>D26+E26+F26+G26+H26+I26+J26</f>
        <v>16</v>
      </c>
      <c r="D26" s="19" t="s">
        <v>20</v>
      </c>
      <c r="E26" s="19" t="s">
        <v>20</v>
      </c>
      <c r="F26" s="19" t="s">
        <v>20</v>
      </c>
      <c r="G26" s="5">
        <v>13</v>
      </c>
      <c r="H26" s="5">
        <v>2</v>
      </c>
      <c r="I26" s="19" t="s">
        <v>20</v>
      </c>
      <c r="J26" s="5">
        <v>1</v>
      </c>
      <c r="K26" s="3"/>
    </row>
    <row r="27" spans="1:11" x14ac:dyDescent="0.2">
      <c r="B27" s="1" t="s">
        <v>29</v>
      </c>
      <c r="C27" s="18">
        <f>D27+E27+F27+G27+H27+I27+J27</f>
        <v>16</v>
      </c>
      <c r="D27" s="5">
        <v>1</v>
      </c>
      <c r="E27" s="19" t="s">
        <v>20</v>
      </c>
      <c r="F27" s="19" t="s">
        <v>20</v>
      </c>
      <c r="G27" s="5">
        <v>14</v>
      </c>
      <c r="H27" s="5">
        <v>1</v>
      </c>
      <c r="I27" s="19" t="s">
        <v>20</v>
      </c>
      <c r="J27" s="19" t="s">
        <v>20</v>
      </c>
      <c r="K27" s="3"/>
    </row>
    <row r="28" spans="1:11" x14ac:dyDescent="0.2">
      <c r="B28" s="1" t="s">
        <v>30</v>
      </c>
      <c r="C28" s="18">
        <f>D28+E28+F28+G28+H28+I28+J28</f>
        <v>6</v>
      </c>
      <c r="D28" s="5">
        <v>1</v>
      </c>
      <c r="E28" s="19" t="s">
        <v>20</v>
      </c>
      <c r="F28" s="5">
        <v>1</v>
      </c>
      <c r="G28" s="19" t="s">
        <v>20</v>
      </c>
      <c r="H28" s="5">
        <v>4</v>
      </c>
      <c r="I28" s="19" t="s">
        <v>20</v>
      </c>
      <c r="J28" s="19" t="s">
        <v>20</v>
      </c>
      <c r="K28" s="3"/>
    </row>
    <row r="29" spans="1:11" x14ac:dyDescent="0.2">
      <c r="B29" s="1" t="s">
        <v>31</v>
      </c>
      <c r="C29" s="18">
        <f>D29+E29+F29+G29+H29+I29+J29</f>
        <v>20</v>
      </c>
      <c r="D29" s="5">
        <v>1</v>
      </c>
      <c r="E29" s="19" t="s">
        <v>20</v>
      </c>
      <c r="F29" s="19" t="s">
        <v>20</v>
      </c>
      <c r="G29" s="5">
        <v>14</v>
      </c>
      <c r="H29" s="5">
        <v>5</v>
      </c>
      <c r="I29" s="19" t="s">
        <v>20</v>
      </c>
      <c r="J29" s="19" t="s">
        <v>20</v>
      </c>
      <c r="K29" s="3"/>
    </row>
    <row r="30" spans="1:11" x14ac:dyDescent="0.2">
      <c r="C30" s="10"/>
      <c r="K30" s="3"/>
    </row>
    <row r="31" spans="1:11" x14ac:dyDescent="0.2">
      <c r="B31" s="1" t="s">
        <v>32</v>
      </c>
      <c r="C31" s="18">
        <f>D31+E31+F31+G31+H31+I31+J31</f>
        <v>10</v>
      </c>
      <c r="D31" s="19" t="s">
        <v>20</v>
      </c>
      <c r="E31" s="19" t="s">
        <v>20</v>
      </c>
      <c r="F31" s="19" t="s">
        <v>20</v>
      </c>
      <c r="G31" s="5">
        <v>8</v>
      </c>
      <c r="H31" s="5">
        <v>2</v>
      </c>
      <c r="I31" s="19" t="s">
        <v>20</v>
      </c>
      <c r="J31" s="19" t="s">
        <v>20</v>
      </c>
      <c r="K31" s="3"/>
    </row>
    <row r="32" spans="1:11" x14ac:dyDescent="0.2">
      <c r="B32" s="1" t="s">
        <v>33</v>
      </c>
      <c r="C32" s="18">
        <f>D32+E32+F32+G32+H32+I32+J32</f>
        <v>11</v>
      </c>
      <c r="D32" s="19" t="s">
        <v>20</v>
      </c>
      <c r="E32" s="19" t="s">
        <v>20</v>
      </c>
      <c r="F32" s="19" t="s">
        <v>20</v>
      </c>
      <c r="G32" s="5">
        <v>8</v>
      </c>
      <c r="H32" s="5">
        <v>3</v>
      </c>
      <c r="I32" s="19" t="s">
        <v>20</v>
      </c>
      <c r="J32" s="19" t="s">
        <v>20</v>
      </c>
      <c r="K32" s="3"/>
    </row>
    <row r="33" spans="1:11" x14ac:dyDescent="0.2">
      <c r="B33" s="1" t="s">
        <v>34</v>
      </c>
      <c r="C33" s="18">
        <f>D33+E33+F33+G33+H33+I33+J33</f>
        <v>33</v>
      </c>
      <c r="D33" s="5">
        <v>7</v>
      </c>
      <c r="E33" s="19" t="s">
        <v>20</v>
      </c>
      <c r="F33" s="5">
        <v>2</v>
      </c>
      <c r="G33" s="5">
        <v>23</v>
      </c>
      <c r="H33" s="19" t="s">
        <v>20</v>
      </c>
      <c r="I33" s="19" t="s">
        <v>20</v>
      </c>
      <c r="J33" s="5">
        <v>1</v>
      </c>
      <c r="K33" s="3"/>
    </row>
    <row r="34" spans="1:11" x14ac:dyDescent="0.2">
      <c r="B34" s="1" t="s">
        <v>35</v>
      </c>
      <c r="C34" s="18">
        <f>D34+E34+F34+G34+H34+I34+J34</f>
        <v>7</v>
      </c>
      <c r="D34" s="19" t="s">
        <v>20</v>
      </c>
      <c r="E34" s="19" t="s">
        <v>20</v>
      </c>
      <c r="F34" s="19" t="s">
        <v>20</v>
      </c>
      <c r="G34" s="5">
        <v>7</v>
      </c>
      <c r="H34" s="19" t="s">
        <v>20</v>
      </c>
      <c r="I34" s="19" t="s">
        <v>20</v>
      </c>
      <c r="J34" s="19" t="s">
        <v>20</v>
      </c>
      <c r="K34" s="3"/>
    </row>
    <row r="35" spans="1:11" x14ac:dyDescent="0.2">
      <c r="B35" s="1" t="s">
        <v>36</v>
      </c>
      <c r="C35" s="18">
        <f>D35+E35+F35+G35+H35+I35+J35</f>
        <v>16</v>
      </c>
      <c r="D35" s="19" t="s">
        <v>20</v>
      </c>
      <c r="E35" s="19" t="s">
        <v>20</v>
      </c>
      <c r="F35" s="19" t="s">
        <v>20</v>
      </c>
      <c r="G35" s="5">
        <v>12</v>
      </c>
      <c r="H35" s="5">
        <v>3</v>
      </c>
      <c r="I35" s="19" t="s">
        <v>20</v>
      </c>
      <c r="J35" s="5">
        <v>1</v>
      </c>
      <c r="K35" s="3"/>
    </row>
    <row r="36" spans="1:11" ht="18" thickBot="1" x14ac:dyDescent="0.25">
      <c r="B36" s="6"/>
      <c r="C36" s="23"/>
      <c r="D36" s="8"/>
      <c r="E36" s="8"/>
      <c r="F36" s="6"/>
      <c r="G36" s="6"/>
      <c r="H36" s="8"/>
      <c r="I36" s="8"/>
      <c r="J36" s="8"/>
      <c r="K36" s="3"/>
    </row>
    <row r="37" spans="1:11" x14ac:dyDescent="0.2">
      <c r="B37" s="1" t="s">
        <v>37</v>
      </c>
      <c r="C37" s="3"/>
      <c r="D37" s="5"/>
      <c r="E37" s="5"/>
      <c r="H37" s="5"/>
      <c r="I37" s="5"/>
      <c r="J37" s="5"/>
      <c r="K37" s="3"/>
    </row>
    <row r="38" spans="1:11" x14ac:dyDescent="0.2">
      <c r="A38" s="2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K39" s="3"/>
    </row>
    <row r="40" spans="1:11" x14ac:dyDescent="0.2">
      <c r="K40" s="3"/>
    </row>
    <row r="41" spans="1:11" x14ac:dyDescent="0.2">
      <c r="K41" s="3"/>
    </row>
    <row r="42" spans="1:11" x14ac:dyDescent="0.2">
      <c r="K42" s="3"/>
    </row>
    <row r="43" spans="1:11" x14ac:dyDescent="0.2">
      <c r="K43" s="3"/>
    </row>
    <row r="44" spans="1:11" x14ac:dyDescent="0.2">
      <c r="K44" s="3"/>
    </row>
    <row r="45" spans="1:11" x14ac:dyDescent="0.2">
      <c r="K45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9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4.625" style="2" customWidth="1"/>
    <col min="16138" max="16138" width="12.125" style="2" customWidth="1"/>
    <col min="16139" max="16384" width="13.375" style="2"/>
  </cols>
  <sheetData>
    <row r="1" spans="1:11" x14ac:dyDescent="0.2">
      <c r="A1" s="1"/>
    </row>
    <row r="6" spans="1:11" x14ac:dyDescent="0.2">
      <c r="A6" s="1" t="s">
        <v>18</v>
      </c>
      <c r="E6" s="4" t="s">
        <v>38</v>
      </c>
      <c r="G6" s="5"/>
      <c r="H6" s="5"/>
      <c r="I6" s="25"/>
      <c r="J6" s="25"/>
    </row>
    <row r="7" spans="1:11" ht="18" thickBot="1" x14ac:dyDescent="0.25">
      <c r="B7" s="6"/>
      <c r="C7" s="6"/>
      <c r="D7" s="6"/>
      <c r="E7" s="7" t="s">
        <v>39</v>
      </c>
      <c r="F7" s="6"/>
      <c r="G7" s="8"/>
      <c r="H7" s="8"/>
      <c r="I7" s="8"/>
      <c r="J7" s="9" t="s">
        <v>2</v>
      </c>
      <c r="K7" s="3"/>
    </row>
    <row r="8" spans="1:11" x14ac:dyDescent="0.2">
      <c r="C8" s="10"/>
      <c r="D8" s="12"/>
      <c r="E8" s="12"/>
      <c r="F8" s="12"/>
      <c r="G8" s="12"/>
      <c r="H8" s="12"/>
      <c r="I8" s="12"/>
      <c r="J8" s="12"/>
      <c r="K8" s="3"/>
    </row>
    <row r="9" spans="1:11" x14ac:dyDescent="0.2">
      <c r="C9" s="13" t="s">
        <v>40</v>
      </c>
      <c r="D9" s="16" t="s">
        <v>41</v>
      </c>
      <c r="E9" s="17" t="s">
        <v>42</v>
      </c>
      <c r="F9" s="12"/>
      <c r="G9" s="10"/>
      <c r="H9" s="16" t="s">
        <v>43</v>
      </c>
      <c r="I9" s="10"/>
      <c r="J9" s="10"/>
      <c r="K9" s="3"/>
    </row>
    <row r="10" spans="1:11" x14ac:dyDescent="0.2">
      <c r="B10" s="12"/>
      <c r="C10" s="17" t="s">
        <v>44</v>
      </c>
      <c r="D10" s="17" t="s">
        <v>45</v>
      </c>
      <c r="E10" s="17" t="s">
        <v>46</v>
      </c>
      <c r="F10" s="17" t="s">
        <v>47</v>
      </c>
      <c r="G10" s="17" t="s">
        <v>48</v>
      </c>
      <c r="H10" s="17" t="s">
        <v>49</v>
      </c>
      <c r="I10" s="17" t="s">
        <v>50</v>
      </c>
      <c r="J10" s="17" t="s">
        <v>51</v>
      </c>
      <c r="K10" s="3"/>
    </row>
    <row r="11" spans="1:11" x14ac:dyDescent="0.2">
      <c r="C11" s="10"/>
      <c r="K11" s="3"/>
    </row>
    <row r="12" spans="1:11" x14ac:dyDescent="0.2">
      <c r="B12" s="1" t="s">
        <v>14</v>
      </c>
      <c r="C12" s="18">
        <f>D12+E12+F12+G12+H12+I12+J12</f>
        <v>161</v>
      </c>
      <c r="D12" s="5">
        <v>2</v>
      </c>
      <c r="E12" s="5">
        <v>46</v>
      </c>
      <c r="F12" s="5">
        <v>57</v>
      </c>
      <c r="G12" s="5">
        <v>47</v>
      </c>
      <c r="H12" s="19" t="s">
        <v>52</v>
      </c>
      <c r="I12" s="5">
        <v>4</v>
      </c>
      <c r="J12" s="5">
        <v>5</v>
      </c>
      <c r="K12" s="3"/>
    </row>
    <row r="13" spans="1:11" x14ac:dyDescent="0.2">
      <c r="B13" s="1" t="s">
        <v>15</v>
      </c>
      <c r="C13" s="18">
        <f>D13+E13+F13+G13+H13+I13+J13</f>
        <v>147</v>
      </c>
      <c r="D13" s="5">
        <v>2</v>
      </c>
      <c r="E13" s="5">
        <v>45</v>
      </c>
      <c r="F13" s="5">
        <v>46</v>
      </c>
      <c r="G13" s="5">
        <v>49</v>
      </c>
      <c r="H13" s="19" t="s">
        <v>52</v>
      </c>
      <c r="I13" s="5">
        <v>2</v>
      </c>
      <c r="J13" s="5">
        <v>3</v>
      </c>
      <c r="K13" s="3"/>
    </row>
    <row r="14" spans="1:11" x14ac:dyDescent="0.2">
      <c r="C14" s="10"/>
      <c r="D14" s="5"/>
      <c r="E14" s="5"/>
      <c r="F14" s="5"/>
      <c r="G14" s="5"/>
      <c r="H14" s="5"/>
      <c r="I14" s="5"/>
      <c r="J14" s="5"/>
      <c r="K14" s="3"/>
    </row>
    <row r="15" spans="1:11" x14ac:dyDescent="0.2">
      <c r="B15" s="1" t="s">
        <v>16</v>
      </c>
      <c r="C15" s="18">
        <f>D15+E15+F15+G15+H15+I15+J15</f>
        <v>162</v>
      </c>
      <c r="D15" s="5">
        <v>2</v>
      </c>
      <c r="E15" s="5">
        <v>46</v>
      </c>
      <c r="F15" s="5">
        <v>50</v>
      </c>
      <c r="G15" s="5">
        <v>57</v>
      </c>
      <c r="H15" s="5">
        <v>1</v>
      </c>
      <c r="I15" s="5">
        <v>5</v>
      </c>
      <c r="J15" s="5">
        <v>1</v>
      </c>
      <c r="K15" s="3"/>
    </row>
    <row r="16" spans="1:11" x14ac:dyDescent="0.2">
      <c r="B16" s="1" t="s">
        <v>17</v>
      </c>
      <c r="C16" s="18">
        <f>D16+E16+F16+G16+H16+I16+J16</f>
        <v>183</v>
      </c>
      <c r="D16" s="5">
        <v>2</v>
      </c>
      <c r="E16" s="5">
        <v>47</v>
      </c>
      <c r="F16" s="5">
        <v>63</v>
      </c>
      <c r="G16" s="5">
        <v>63</v>
      </c>
      <c r="H16" s="5">
        <v>1</v>
      </c>
      <c r="I16" s="5">
        <v>4</v>
      </c>
      <c r="J16" s="5">
        <v>3</v>
      </c>
      <c r="K16" s="3"/>
    </row>
    <row r="17" spans="2:11" x14ac:dyDescent="0.2">
      <c r="B17" s="1" t="s">
        <v>19</v>
      </c>
      <c r="C17" s="18">
        <f>D17+E17+F17+G17+H17+I17+J17</f>
        <v>183</v>
      </c>
      <c r="D17" s="5">
        <v>3</v>
      </c>
      <c r="E17" s="5">
        <v>55</v>
      </c>
      <c r="F17" s="5">
        <v>46</v>
      </c>
      <c r="G17" s="5">
        <v>73</v>
      </c>
      <c r="H17" s="5">
        <v>3</v>
      </c>
      <c r="I17" s="5">
        <v>2</v>
      </c>
      <c r="J17" s="5">
        <v>1</v>
      </c>
      <c r="K17" s="3"/>
    </row>
    <row r="18" spans="2:11" x14ac:dyDescent="0.2">
      <c r="C18" s="10"/>
      <c r="K18" s="3"/>
    </row>
    <row r="19" spans="2:11" x14ac:dyDescent="0.2">
      <c r="B19" s="1" t="s">
        <v>21</v>
      </c>
      <c r="C19" s="18">
        <f>D19+E19+F19+G19+H19+I19+J19</f>
        <v>198</v>
      </c>
      <c r="D19" s="5">
        <v>3</v>
      </c>
      <c r="E19" s="5">
        <v>104</v>
      </c>
      <c r="F19" s="19" t="s">
        <v>52</v>
      </c>
      <c r="G19" s="5">
        <v>82</v>
      </c>
      <c r="H19" s="19" t="s">
        <v>52</v>
      </c>
      <c r="I19" s="5">
        <v>6</v>
      </c>
      <c r="J19" s="5">
        <v>3</v>
      </c>
      <c r="K19" s="3"/>
    </row>
    <row r="20" spans="2:11" x14ac:dyDescent="0.2">
      <c r="B20" s="1" t="s">
        <v>22</v>
      </c>
      <c r="C20" s="18">
        <f>D20+E20+F20+G20+H20+I20+J20</f>
        <v>218</v>
      </c>
      <c r="D20" s="5">
        <v>3</v>
      </c>
      <c r="E20" s="5">
        <v>104</v>
      </c>
      <c r="F20" s="19" t="s">
        <v>52</v>
      </c>
      <c r="G20" s="5">
        <v>103</v>
      </c>
      <c r="H20" s="5">
        <v>2</v>
      </c>
      <c r="I20" s="5">
        <v>6</v>
      </c>
      <c r="J20" s="19" t="s">
        <v>52</v>
      </c>
      <c r="K20" s="3"/>
    </row>
    <row r="21" spans="2:11" x14ac:dyDescent="0.2">
      <c r="B21" s="1" t="s">
        <v>23</v>
      </c>
      <c r="C21" s="18">
        <f>D21+E21+F21+G21+H21+I21+J21</f>
        <v>237</v>
      </c>
      <c r="D21" s="5">
        <v>3</v>
      </c>
      <c r="E21" s="5">
        <v>103</v>
      </c>
      <c r="F21" s="19" t="s">
        <v>52</v>
      </c>
      <c r="G21" s="5">
        <v>117</v>
      </c>
      <c r="H21" s="5">
        <v>11</v>
      </c>
      <c r="I21" s="5">
        <v>3</v>
      </c>
      <c r="J21" s="19" t="s">
        <v>52</v>
      </c>
      <c r="K21" s="3"/>
    </row>
    <row r="22" spans="2:11" x14ac:dyDescent="0.2">
      <c r="C22" s="10"/>
      <c r="K22" s="3"/>
    </row>
    <row r="23" spans="2:11" x14ac:dyDescent="0.2">
      <c r="B23" s="1" t="s">
        <v>24</v>
      </c>
      <c r="C23" s="18">
        <f>D23+E23+F23+G23+H23+I23+J23</f>
        <v>247</v>
      </c>
      <c r="D23" s="5">
        <v>3</v>
      </c>
      <c r="E23" s="5">
        <v>106</v>
      </c>
      <c r="F23" s="19" t="s">
        <v>52</v>
      </c>
      <c r="G23" s="5">
        <v>128</v>
      </c>
      <c r="H23" s="5">
        <v>8</v>
      </c>
      <c r="I23" s="5">
        <v>2</v>
      </c>
      <c r="J23" s="19" t="s">
        <v>52</v>
      </c>
      <c r="K23" s="3"/>
    </row>
    <row r="24" spans="2:11" x14ac:dyDescent="0.2">
      <c r="B24" s="1" t="s">
        <v>25</v>
      </c>
      <c r="C24" s="18">
        <f>D24+E24+F24+G24+H24+I24+J24</f>
        <v>260</v>
      </c>
      <c r="D24" s="5">
        <v>4</v>
      </c>
      <c r="E24" s="5">
        <v>100</v>
      </c>
      <c r="F24" s="19" t="s">
        <v>52</v>
      </c>
      <c r="G24" s="5">
        <v>140</v>
      </c>
      <c r="H24" s="5">
        <v>10</v>
      </c>
      <c r="I24" s="5">
        <v>4</v>
      </c>
      <c r="J24" s="5">
        <v>2</v>
      </c>
      <c r="K24" s="3"/>
    </row>
    <row r="25" spans="2:11" x14ac:dyDescent="0.2">
      <c r="B25" s="4" t="s">
        <v>53</v>
      </c>
      <c r="C25" s="20">
        <f>D25+E25+F25+G25+H25+I25+J25</f>
        <v>305</v>
      </c>
      <c r="D25" s="26">
        <f t="shared" ref="D25:J25" si="0">SUM(D28:D39)</f>
        <v>3</v>
      </c>
      <c r="E25" s="26">
        <f t="shared" si="0"/>
        <v>116</v>
      </c>
      <c r="F25" s="27" t="s">
        <v>52</v>
      </c>
      <c r="G25" s="26">
        <f t="shared" si="0"/>
        <v>162</v>
      </c>
      <c r="H25" s="26">
        <f t="shared" si="0"/>
        <v>8</v>
      </c>
      <c r="I25" s="26">
        <f t="shared" si="0"/>
        <v>8</v>
      </c>
      <c r="J25" s="26">
        <f t="shared" si="0"/>
        <v>8</v>
      </c>
      <c r="K25" s="3"/>
    </row>
    <row r="26" spans="2:11" x14ac:dyDescent="0.2">
      <c r="C26" s="10"/>
      <c r="K26" s="3"/>
    </row>
    <row r="27" spans="2:11" x14ac:dyDescent="0.2">
      <c r="C27" s="28"/>
      <c r="D27" s="5"/>
      <c r="E27" s="5"/>
      <c r="F27" s="4" t="s">
        <v>54</v>
      </c>
      <c r="G27" s="5"/>
      <c r="H27" s="5"/>
      <c r="I27" s="5"/>
      <c r="J27" s="5"/>
      <c r="K27" s="3"/>
    </row>
    <row r="28" spans="2:11" x14ac:dyDescent="0.2">
      <c r="B28" s="1" t="s">
        <v>27</v>
      </c>
      <c r="C28" s="18">
        <f>D28+E28+F28+G28+H28+I28+J28</f>
        <v>47</v>
      </c>
      <c r="D28" s="5">
        <v>3</v>
      </c>
      <c r="E28" s="5">
        <v>29</v>
      </c>
      <c r="F28" s="19" t="s">
        <v>52</v>
      </c>
      <c r="G28" s="19" t="s">
        <v>52</v>
      </c>
      <c r="H28" s="5">
        <v>5</v>
      </c>
      <c r="I28" s="5">
        <v>5</v>
      </c>
      <c r="J28" s="5">
        <v>5</v>
      </c>
      <c r="K28" s="3"/>
    </row>
    <row r="29" spans="2:11" x14ac:dyDescent="0.2">
      <c r="B29" s="1" t="s">
        <v>28</v>
      </c>
      <c r="C29" s="18">
        <f>D29+E29+F29+G29+H29+I29+J29</f>
        <v>14</v>
      </c>
      <c r="D29" s="19" t="s">
        <v>52</v>
      </c>
      <c r="E29" s="5">
        <v>11</v>
      </c>
      <c r="F29" s="19" t="s">
        <v>52</v>
      </c>
      <c r="G29" s="19" t="s">
        <v>52</v>
      </c>
      <c r="H29" s="5">
        <v>2</v>
      </c>
      <c r="I29" s="19" t="s">
        <v>52</v>
      </c>
      <c r="J29" s="5">
        <v>1</v>
      </c>
      <c r="K29" s="3"/>
    </row>
    <row r="30" spans="2:11" x14ac:dyDescent="0.2">
      <c r="C30" s="10"/>
      <c r="K30" s="3"/>
    </row>
    <row r="31" spans="2:11" x14ac:dyDescent="0.2">
      <c r="B31" s="1" t="s">
        <v>29</v>
      </c>
      <c r="C31" s="18">
        <f>D31+E31+F31+G31+H31+I31+J31</f>
        <v>30</v>
      </c>
      <c r="D31" s="19" t="s">
        <v>52</v>
      </c>
      <c r="E31" s="5">
        <v>8</v>
      </c>
      <c r="F31" s="19" t="s">
        <v>52</v>
      </c>
      <c r="G31" s="5">
        <v>20</v>
      </c>
      <c r="H31" s="19" t="s">
        <v>52</v>
      </c>
      <c r="I31" s="5">
        <v>2</v>
      </c>
      <c r="J31" s="19" t="s">
        <v>52</v>
      </c>
      <c r="K31" s="3"/>
    </row>
    <row r="32" spans="2:11" x14ac:dyDescent="0.2">
      <c r="B32" s="1" t="s">
        <v>30</v>
      </c>
      <c r="C32" s="18">
        <f>D32+E32+F32+G32+H32+I32+J32</f>
        <v>36</v>
      </c>
      <c r="D32" s="19" t="s">
        <v>52</v>
      </c>
      <c r="E32" s="5">
        <v>10</v>
      </c>
      <c r="F32" s="19" t="s">
        <v>52</v>
      </c>
      <c r="G32" s="5">
        <v>25</v>
      </c>
      <c r="H32" s="19" t="s">
        <v>52</v>
      </c>
      <c r="I32" s="5">
        <v>1</v>
      </c>
      <c r="J32" s="19" t="s">
        <v>52</v>
      </c>
      <c r="K32" s="3"/>
    </row>
    <row r="33" spans="1:11" x14ac:dyDescent="0.2">
      <c r="B33" s="1" t="s">
        <v>31</v>
      </c>
      <c r="C33" s="18">
        <f>D33+E33+F33+G33+H33+I33+J33</f>
        <v>32</v>
      </c>
      <c r="D33" s="19" t="s">
        <v>52</v>
      </c>
      <c r="E33" s="5">
        <v>9</v>
      </c>
      <c r="F33" s="19" t="s">
        <v>52</v>
      </c>
      <c r="G33" s="5">
        <v>23</v>
      </c>
      <c r="H33" s="19" t="s">
        <v>52</v>
      </c>
      <c r="I33" s="19" t="s">
        <v>52</v>
      </c>
      <c r="J33" s="19" t="s">
        <v>52</v>
      </c>
      <c r="K33" s="3"/>
    </row>
    <row r="34" spans="1:11" x14ac:dyDescent="0.2">
      <c r="B34" s="1" t="s">
        <v>32</v>
      </c>
      <c r="C34" s="18">
        <f>D34+E34+F34+G34+H34+I34+J34</f>
        <v>27</v>
      </c>
      <c r="D34" s="19" t="s">
        <v>52</v>
      </c>
      <c r="E34" s="5">
        <v>8</v>
      </c>
      <c r="F34" s="19" t="s">
        <v>52</v>
      </c>
      <c r="G34" s="5">
        <v>18</v>
      </c>
      <c r="H34" s="19" t="s">
        <v>52</v>
      </c>
      <c r="I34" s="19" t="s">
        <v>52</v>
      </c>
      <c r="J34" s="5">
        <v>1</v>
      </c>
      <c r="K34" s="3"/>
    </row>
    <row r="35" spans="1:11" x14ac:dyDescent="0.2">
      <c r="C35" s="10"/>
      <c r="K35" s="3"/>
    </row>
    <row r="36" spans="1:11" x14ac:dyDescent="0.2">
      <c r="B36" s="1" t="s">
        <v>33</v>
      </c>
      <c r="C36" s="18">
        <f>D36+E36+F36+G36+H36+I36+J36</f>
        <v>36</v>
      </c>
      <c r="D36" s="19" t="s">
        <v>52</v>
      </c>
      <c r="E36" s="5">
        <v>13</v>
      </c>
      <c r="F36" s="19" t="s">
        <v>52</v>
      </c>
      <c r="G36" s="5">
        <v>23</v>
      </c>
      <c r="H36" s="19" t="s">
        <v>52</v>
      </c>
      <c r="I36" s="19" t="s">
        <v>52</v>
      </c>
      <c r="J36" s="19" t="s">
        <v>52</v>
      </c>
      <c r="K36" s="3"/>
    </row>
    <row r="37" spans="1:11" x14ac:dyDescent="0.2">
      <c r="B37" s="1" t="s">
        <v>34</v>
      </c>
      <c r="C37" s="18">
        <f>D37+E37+F37+G37+H37+I37+J37</f>
        <v>46</v>
      </c>
      <c r="D37" s="19" t="s">
        <v>52</v>
      </c>
      <c r="E37" s="5">
        <v>12</v>
      </c>
      <c r="F37" s="19" t="s">
        <v>52</v>
      </c>
      <c r="G37" s="5">
        <v>32</v>
      </c>
      <c r="H37" s="5">
        <v>1</v>
      </c>
      <c r="I37" s="19" t="s">
        <v>52</v>
      </c>
      <c r="J37" s="5">
        <v>1</v>
      </c>
      <c r="K37" s="3"/>
    </row>
    <row r="38" spans="1:11" x14ac:dyDescent="0.2">
      <c r="B38" s="1" t="s">
        <v>35</v>
      </c>
      <c r="C38" s="18">
        <f>D38+E38+F38+G38+H38+I38+J38</f>
        <v>15</v>
      </c>
      <c r="D38" s="19" t="s">
        <v>52</v>
      </c>
      <c r="E38" s="5">
        <v>6</v>
      </c>
      <c r="F38" s="19" t="s">
        <v>52</v>
      </c>
      <c r="G38" s="5">
        <v>9</v>
      </c>
      <c r="H38" s="19" t="s">
        <v>52</v>
      </c>
      <c r="I38" s="19" t="s">
        <v>52</v>
      </c>
      <c r="J38" s="19" t="s">
        <v>52</v>
      </c>
      <c r="K38" s="3"/>
    </row>
    <row r="39" spans="1:11" x14ac:dyDescent="0.2">
      <c r="A39" s="1" t="s">
        <v>18</v>
      </c>
      <c r="B39" s="1" t="s">
        <v>36</v>
      </c>
      <c r="C39" s="18">
        <f>D39+E39+F39+G39+H39+I39+J39</f>
        <v>22</v>
      </c>
      <c r="D39" s="19" t="s">
        <v>52</v>
      </c>
      <c r="E39" s="5">
        <v>10</v>
      </c>
      <c r="F39" s="19" t="s">
        <v>52</v>
      </c>
      <c r="G39" s="5">
        <v>12</v>
      </c>
      <c r="H39" s="19" t="s">
        <v>52</v>
      </c>
      <c r="I39" s="19" t="s">
        <v>52</v>
      </c>
      <c r="J39" s="19" t="s">
        <v>52</v>
      </c>
      <c r="K39" s="3"/>
    </row>
    <row r="40" spans="1:11" ht="18" thickBot="1" x14ac:dyDescent="0.25">
      <c r="B40" s="6"/>
      <c r="C40" s="23"/>
      <c r="D40" s="8"/>
      <c r="E40" s="8"/>
      <c r="F40" s="6"/>
      <c r="G40" s="8"/>
      <c r="H40" s="8"/>
      <c r="I40" s="8"/>
      <c r="J40" s="8"/>
      <c r="K40" s="3"/>
    </row>
    <row r="41" spans="1:11" x14ac:dyDescent="0.2">
      <c r="C41" s="3" t="s">
        <v>55</v>
      </c>
      <c r="D41" s="5"/>
      <c r="E41" s="5"/>
      <c r="G41" s="5"/>
      <c r="H41" s="5"/>
      <c r="I41" s="5"/>
      <c r="J41" s="5"/>
      <c r="K41" s="3"/>
    </row>
    <row r="42" spans="1:11" x14ac:dyDescent="0.2">
      <c r="K42" s="3"/>
    </row>
    <row r="43" spans="1:11" x14ac:dyDescent="0.2">
      <c r="K43" s="3"/>
    </row>
    <row r="44" spans="1:11" x14ac:dyDescent="0.2">
      <c r="K44" s="3"/>
    </row>
    <row r="45" spans="1:11" x14ac:dyDescent="0.2">
      <c r="K45" s="3"/>
    </row>
    <row r="46" spans="1:11" x14ac:dyDescent="0.2">
      <c r="K46" s="3"/>
    </row>
    <row r="47" spans="1:11" x14ac:dyDescent="0.2">
      <c r="K47" s="3"/>
    </row>
    <row r="48" spans="1:11" x14ac:dyDescent="0.2">
      <c r="K48" s="3"/>
    </row>
    <row r="49" spans="11:11" x14ac:dyDescent="0.2">
      <c r="K49" s="3"/>
    </row>
    <row r="50" spans="11:11" x14ac:dyDescent="0.2">
      <c r="K50" s="3"/>
    </row>
    <row r="51" spans="11:11" x14ac:dyDescent="0.2">
      <c r="K51" s="3"/>
    </row>
    <row r="52" spans="11:11" x14ac:dyDescent="0.2">
      <c r="K52" s="3"/>
    </row>
    <row r="53" spans="11:11" x14ac:dyDescent="0.2">
      <c r="K53" s="3"/>
    </row>
    <row r="54" spans="11:11" x14ac:dyDescent="0.2">
      <c r="K54" s="3"/>
    </row>
    <row r="55" spans="11:11" x14ac:dyDescent="0.2">
      <c r="K55" s="3"/>
    </row>
    <row r="56" spans="11:11" x14ac:dyDescent="0.2">
      <c r="K56" s="3"/>
    </row>
    <row r="57" spans="11:11" x14ac:dyDescent="0.2">
      <c r="K57" s="3"/>
    </row>
    <row r="58" spans="11:11" x14ac:dyDescent="0.2">
      <c r="K58" s="3"/>
    </row>
    <row r="59" spans="11:11" x14ac:dyDescent="0.2">
      <c r="K59" s="3"/>
    </row>
    <row r="60" spans="11:11" x14ac:dyDescent="0.2">
      <c r="K60" s="3"/>
    </row>
    <row r="61" spans="11:11" x14ac:dyDescent="0.2">
      <c r="K61" s="3"/>
    </row>
    <row r="62" spans="11:11" x14ac:dyDescent="0.2">
      <c r="K62" s="3"/>
    </row>
    <row r="63" spans="11:11" x14ac:dyDescent="0.2">
      <c r="K63" s="3"/>
    </row>
    <row r="64" spans="11:11" x14ac:dyDescent="0.2">
      <c r="K64" s="3"/>
    </row>
    <row r="65" spans="11:11" x14ac:dyDescent="0.2">
      <c r="K65" s="3"/>
    </row>
    <row r="66" spans="11:11" x14ac:dyDescent="0.2">
      <c r="K66" s="3"/>
    </row>
    <row r="67" spans="11:11" x14ac:dyDescent="0.2">
      <c r="K67" s="3"/>
    </row>
    <row r="68" spans="11:11" x14ac:dyDescent="0.2">
      <c r="K68" s="3"/>
    </row>
    <row r="69" spans="11:11" x14ac:dyDescent="0.2">
      <c r="K69" s="3"/>
    </row>
    <row r="70" spans="11:11" x14ac:dyDescent="0.2">
      <c r="K70" s="3"/>
    </row>
    <row r="71" spans="11:11" x14ac:dyDescent="0.2">
      <c r="K71" s="3"/>
    </row>
    <row r="72" spans="11:11" x14ac:dyDescent="0.2">
      <c r="K72" s="3"/>
    </row>
    <row r="73" spans="11:11" x14ac:dyDescent="0.2">
      <c r="K73" s="3"/>
    </row>
    <row r="74" spans="11:11" x14ac:dyDescent="0.2">
      <c r="K74" s="3"/>
    </row>
    <row r="75" spans="11:11" x14ac:dyDescent="0.2">
      <c r="K75" s="3"/>
    </row>
    <row r="76" spans="11:11" x14ac:dyDescent="0.2">
      <c r="K76" s="3"/>
    </row>
    <row r="77" spans="11:11" x14ac:dyDescent="0.2">
      <c r="K77" s="3"/>
    </row>
    <row r="78" spans="11:11" x14ac:dyDescent="0.2">
      <c r="K78" s="3"/>
    </row>
    <row r="79" spans="11:11" x14ac:dyDescent="0.2">
      <c r="K79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5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4.625" style="2" customWidth="1"/>
    <col min="16138" max="16138" width="12.125" style="2" customWidth="1"/>
    <col min="16139" max="16384" width="13.375" style="2"/>
  </cols>
  <sheetData>
    <row r="1" spans="1:11" x14ac:dyDescent="0.2">
      <c r="A1" s="1"/>
    </row>
    <row r="6" spans="1:11" x14ac:dyDescent="0.2">
      <c r="C6" s="3"/>
      <c r="D6" s="4" t="s">
        <v>56</v>
      </c>
      <c r="J6" s="5"/>
      <c r="K6" s="3"/>
    </row>
    <row r="7" spans="1:11" ht="18" thickBot="1" x14ac:dyDescent="0.25">
      <c r="B7" s="6"/>
      <c r="C7" s="6"/>
      <c r="D7" s="7" t="s">
        <v>57</v>
      </c>
      <c r="E7" s="6"/>
      <c r="F7" s="6"/>
      <c r="G7" s="6"/>
      <c r="H7" s="9" t="s">
        <v>2</v>
      </c>
      <c r="I7" s="3"/>
      <c r="J7" s="25"/>
      <c r="K7" s="3"/>
    </row>
    <row r="8" spans="1:11" x14ac:dyDescent="0.2">
      <c r="C8" s="13" t="s">
        <v>58</v>
      </c>
      <c r="D8" s="10"/>
      <c r="E8" s="10"/>
      <c r="F8" s="10"/>
      <c r="G8" s="10"/>
      <c r="H8" s="10"/>
      <c r="I8" s="3"/>
      <c r="J8" s="3"/>
      <c r="K8" s="3"/>
    </row>
    <row r="9" spans="1:11" x14ac:dyDescent="0.2">
      <c r="C9" s="16" t="s">
        <v>59</v>
      </c>
      <c r="D9" s="16" t="s">
        <v>60</v>
      </c>
      <c r="E9" s="16" t="s">
        <v>61</v>
      </c>
      <c r="F9" s="13" t="s">
        <v>62</v>
      </c>
      <c r="G9" s="13" t="s">
        <v>63</v>
      </c>
      <c r="H9" s="13" t="s">
        <v>63</v>
      </c>
      <c r="I9" s="3"/>
      <c r="J9" s="3"/>
      <c r="K9" s="3"/>
    </row>
    <row r="10" spans="1:11" x14ac:dyDescent="0.2">
      <c r="B10" s="12"/>
      <c r="C10" s="29" t="s">
        <v>64</v>
      </c>
      <c r="D10" s="14"/>
      <c r="E10" s="14"/>
      <c r="F10" s="17" t="s">
        <v>65</v>
      </c>
      <c r="G10" s="29" t="s">
        <v>66</v>
      </c>
      <c r="H10" s="29" t="s">
        <v>67</v>
      </c>
      <c r="I10" s="3"/>
      <c r="J10" s="3"/>
      <c r="K10" s="3"/>
    </row>
    <row r="11" spans="1:11" x14ac:dyDescent="0.2">
      <c r="C11" s="10"/>
      <c r="K11" s="3"/>
    </row>
    <row r="12" spans="1:11" x14ac:dyDescent="0.2">
      <c r="B12" s="1" t="s">
        <v>14</v>
      </c>
      <c r="C12" s="28">
        <v>2121</v>
      </c>
      <c r="D12" s="5">
        <v>821</v>
      </c>
      <c r="E12" s="5">
        <v>700</v>
      </c>
      <c r="F12" s="5">
        <v>143</v>
      </c>
      <c r="G12" s="5">
        <v>84</v>
      </c>
      <c r="H12" s="5">
        <v>98</v>
      </c>
      <c r="K12" s="3"/>
    </row>
    <row r="13" spans="1:11" x14ac:dyDescent="0.2">
      <c r="B13" s="1" t="s">
        <v>15</v>
      </c>
      <c r="C13" s="28">
        <v>2336</v>
      </c>
      <c r="D13" s="5">
        <v>801</v>
      </c>
      <c r="E13" s="5">
        <v>767</v>
      </c>
      <c r="F13" s="5">
        <v>191</v>
      </c>
      <c r="G13" s="5">
        <v>161</v>
      </c>
      <c r="H13" s="5">
        <v>164</v>
      </c>
      <c r="K13" s="3"/>
    </row>
    <row r="14" spans="1:11" x14ac:dyDescent="0.2">
      <c r="C14" s="28"/>
      <c r="D14" s="5"/>
      <c r="E14" s="5"/>
      <c r="F14" s="5"/>
      <c r="G14" s="5"/>
      <c r="H14" s="5"/>
      <c r="K14" s="3"/>
    </row>
    <row r="15" spans="1:11" x14ac:dyDescent="0.2">
      <c r="B15" s="1" t="s">
        <v>16</v>
      </c>
      <c r="C15" s="28">
        <v>2370</v>
      </c>
      <c r="D15" s="5">
        <v>831</v>
      </c>
      <c r="E15" s="5">
        <v>795</v>
      </c>
      <c r="F15" s="5">
        <v>183</v>
      </c>
      <c r="G15" s="5">
        <v>197</v>
      </c>
      <c r="H15" s="5">
        <v>192</v>
      </c>
      <c r="K15" s="3"/>
    </row>
    <row r="16" spans="1:11" x14ac:dyDescent="0.2">
      <c r="B16" s="1" t="s">
        <v>17</v>
      </c>
      <c r="C16" s="28">
        <v>2350</v>
      </c>
      <c r="D16" s="5">
        <v>816</v>
      </c>
      <c r="E16" s="5">
        <v>780</v>
      </c>
      <c r="F16" s="5">
        <v>188</v>
      </c>
      <c r="G16" s="5">
        <v>181</v>
      </c>
      <c r="H16" s="5">
        <v>253</v>
      </c>
      <c r="K16" s="3"/>
    </row>
    <row r="17" spans="1:11" x14ac:dyDescent="0.2">
      <c r="B17" s="1" t="s">
        <v>19</v>
      </c>
      <c r="C17" s="28">
        <v>2330</v>
      </c>
      <c r="D17" s="5">
        <v>801</v>
      </c>
      <c r="E17" s="5">
        <v>765</v>
      </c>
      <c r="F17" s="5">
        <v>195</v>
      </c>
      <c r="G17" s="5">
        <v>231</v>
      </c>
      <c r="H17" s="5">
        <v>284</v>
      </c>
      <c r="K17" s="3"/>
    </row>
    <row r="18" spans="1:11" x14ac:dyDescent="0.2">
      <c r="C18" s="10"/>
      <c r="K18" s="3"/>
    </row>
    <row r="19" spans="1:11" x14ac:dyDescent="0.2">
      <c r="B19" s="1" t="s">
        <v>21</v>
      </c>
      <c r="C19" s="28">
        <v>2220</v>
      </c>
      <c r="D19" s="5">
        <v>763</v>
      </c>
      <c r="E19" s="5">
        <v>741</v>
      </c>
      <c r="F19" s="5">
        <v>224</v>
      </c>
      <c r="G19" s="5">
        <v>239</v>
      </c>
      <c r="H19" s="5">
        <v>281</v>
      </c>
      <c r="K19" s="3"/>
    </row>
    <row r="20" spans="1:11" x14ac:dyDescent="0.2">
      <c r="B20" s="1" t="s">
        <v>22</v>
      </c>
      <c r="C20" s="28">
        <v>2070</v>
      </c>
      <c r="D20" s="5">
        <v>801</v>
      </c>
      <c r="E20" s="5">
        <v>795</v>
      </c>
      <c r="F20" s="5">
        <v>361</v>
      </c>
      <c r="G20" s="5">
        <v>275</v>
      </c>
      <c r="H20" s="5">
        <v>283</v>
      </c>
      <c r="K20" s="3"/>
    </row>
    <row r="21" spans="1:11" x14ac:dyDescent="0.2">
      <c r="B21" s="1" t="s">
        <v>23</v>
      </c>
      <c r="C21" s="28">
        <v>2115</v>
      </c>
      <c r="D21" s="5">
        <v>880</v>
      </c>
      <c r="E21" s="5">
        <v>873</v>
      </c>
      <c r="F21" s="5">
        <v>400</v>
      </c>
      <c r="G21" s="5">
        <v>329</v>
      </c>
      <c r="H21" s="5">
        <v>295</v>
      </c>
      <c r="K21" s="3"/>
    </row>
    <row r="22" spans="1:11" x14ac:dyDescent="0.2">
      <c r="C22" s="10"/>
      <c r="K22" s="3"/>
    </row>
    <row r="23" spans="1:11" x14ac:dyDescent="0.2">
      <c r="B23" s="1" t="s">
        <v>24</v>
      </c>
      <c r="C23" s="28">
        <f>900+1239</f>
        <v>2139</v>
      </c>
      <c r="D23" s="5">
        <f>446+476</f>
        <v>922</v>
      </c>
      <c r="E23" s="5">
        <f>482+431</f>
        <v>913</v>
      </c>
      <c r="F23" s="5">
        <v>430</v>
      </c>
      <c r="G23" s="5">
        <v>371</v>
      </c>
      <c r="H23" s="5">
        <f>149+15+149+8</f>
        <v>321</v>
      </c>
      <c r="K23" s="3"/>
    </row>
    <row r="24" spans="1:11" x14ac:dyDescent="0.2">
      <c r="B24" s="1" t="s">
        <v>25</v>
      </c>
      <c r="C24" s="28">
        <f>905+1243</f>
        <v>2148</v>
      </c>
      <c r="D24" s="5">
        <f>456+477</f>
        <v>933</v>
      </c>
      <c r="E24" s="5">
        <f>492+431</f>
        <v>923</v>
      </c>
      <c r="F24" s="5">
        <v>444</v>
      </c>
      <c r="G24" s="5">
        <v>408</v>
      </c>
      <c r="H24" s="5">
        <f>160+16+144+16</f>
        <v>336</v>
      </c>
      <c r="K24" s="3"/>
    </row>
    <row r="25" spans="1:11" x14ac:dyDescent="0.2">
      <c r="B25" s="4" t="s">
        <v>68</v>
      </c>
      <c r="C25" s="30">
        <v>2162</v>
      </c>
      <c r="D25" s="26">
        <v>959</v>
      </c>
      <c r="E25" s="26">
        <v>951</v>
      </c>
      <c r="F25" s="26">
        <v>464</v>
      </c>
      <c r="G25" s="26">
        <v>463</v>
      </c>
      <c r="H25" s="26">
        <v>335</v>
      </c>
      <c r="K25" s="3"/>
    </row>
    <row r="26" spans="1:11" ht="18" thickBot="1" x14ac:dyDescent="0.25">
      <c r="B26" s="6"/>
      <c r="C26" s="23"/>
      <c r="D26" s="8"/>
      <c r="E26" s="8"/>
      <c r="F26" s="6"/>
      <c r="G26" s="6"/>
      <c r="H26" s="8"/>
      <c r="I26" s="25"/>
      <c r="J26" s="5"/>
      <c r="K26" s="3"/>
    </row>
    <row r="27" spans="1:11" x14ac:dyDescent="0.2">
      <c r="C27" s="24" t="s">
        <v>55</v>
      </c>
      <c r="D27" s="5"/>
      <c r="I27" s="5"/>
      <c r="J27" s="5"/>
      <c r="K27" s="3"/>
    </row>
    <row r="28" spans="1:11" x14ac:dyDescent="0.2">
      <c r="A28" s="24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K29" s="3"/>
    </row>
    <row r="30" spans="1:11" x14ac:dyDescent="0.2">
      <c r="K30" s="3"/>
    </row>
    <row r="31" spans="1:11" x14ac:dyDescent="0.2">
      <c r="K31" s="3"/>
    </row>
    <row r="32" spans="1:11" x14ac:dyDescent="0.2">
      <c r="K32" s="3"/>
    </row>
    <row r="33" spans="11:11" x14ac:dyDescent="0.2">
      <c r="K33" s="3"/>
    </row>
    <row r="34" spans="11:11" x14ac:dyDescent="0.2">
      <c r="K34" s="3"/>
    </row>
    <row r="35" spans="11:11" x14ac:dyDescent="0.2">
      <c r="K35" s="3"/>
    </row>
    <row r="36" spans="11:11" x14ac:dyDescent="0.2">
      <c r="K36" s="3"/>
    </row>
    <row r="37" spans="11:11" x14ac:dyDescent="0.2">
      <c r="K37" s="3"/>
    </row>
    <row r="38" spans="11:11" x14ac:dyDescent="0.2">
      <c r="K38" s="3"/>
    </row>
    <row r="39" spans="11:11" x14ac:dyDescent="0.2">
      <c r="K39" s="3"/>
    </row>
    <row r="40" spans="11:11" x14ac:dyDescent="0.2">
      <c r="K40" s="3"/>
    </row>
    <row r="41" spans="11:11" x14ac:dyDescent="0.2">
      <c r="K41" s="3"/>
    </row>
    <row r="42" spans="11:11" x14ac:dyDescent="0.2">
      <c r="K42" s="3"/>
    </row>
    <row r="43" spans="11:11" x14ac:dyDescent="0.2">
      <c r="K43" s="3"/>
    </row>
    <row r="44" spans="11:11" x14ac:dyDescent="0.2">
      <c r="K44" s="3"/>
    </row>
    <row r="45" spans="11:11" x14ac:dyDescent="0.2">
      <c r="K45" s="3"/>
    </row>
    <row r="46" spans="11:11" x14ac:dyDescent="0.2">
      <c r="K46" s="3"/>
    </row>
    <row r="47" spans="11:11" x14ac:dyDescent="0.2">
      <c r="K47" s="3"/>
    </row>
    <row r="48" spans="11:11" x14ac:dyDescent="0.2">
      <c r="K48" s="3"/>
    </row>
    <row r="49" spans="11:11" x14ac:dyDescent="0.2">
      <c r="K49" s="3"/>
    </row>
    <row r="50" spans="11:11" x14ac:dyDescent="0.2">
      <c r="K50" s="3"/>
    </row>
    <row r="51" spans="11:11" x14ac:dyDescent="0.2">
      <c r="K51" s="3"/>
    </row>
    <row r="52" spans="11:11" x14ac:dyDescent="0.2">
      <c r="K52" s="3"/>
    </row>
    <row r="53" spans="11:11" x14ac:dyDescent="0.2">
      <c r="K53" s="3"/>
    </row>
    <row r="54" spans="11:11" x14ac:dyDescent="0.2">
      <c r="K54" s="3"/>
    </row>
    <row r="55" spans="11:11" x14ac:dyDescent="0.2">
      <c r="K55" s="3"/>
    </row>
    <row r="56" spans="11:11" x14ac:dyDescent="0.2">
      <c r="K56" s="3"/>
    </row>
    <row r="57" spans="11:11" x14ac:dyDescent="0.2">
      <c r="K57" s="3"/>
    </row>
    <row r="58" spans="11:11" x14ac:dyDescent="0.2">
      <c r="K58" s="3"/>
    </row>
    <row r="59" spans="11:11" x14ac:dyDescent="0.2">
      <c r="K59" s="3"/>
    </row>
    <row r="60" spans="11:11" x14ac:dyDescent="0.2">
      <c r="K60" s="3"/>
    </row>
    <row r="61" spans="11:11" x14ac:dyDescent="0.2">
      <c r="K61" s="3"/>
    </row>
    <row r="62" spans="11:11" x14ac:dyDescent="0.2">
      <c r="K62" s="3"/>
    </row>
    <row r="63" spans="11:11" x14ac:dyDescent="0.2">
      <c r="K63" s="3"/>
    </row>
    <row r="64" spans="11:11" x14ac:dyDescent="0.2">
      <c r="K64" s="3"/>
    </row>
    <row r="65" spans="11:11" x14ac:dyDescent="0.2">
      <c r="K65" s="3"/>
    </row>
    <row r="66" spans="11:11" x14ac:dyDescent="0.2">
      <c r="K66" s="3"/>
    </row>
    <row r="67" spans="11:11" x14ac:dyDescent="0.2">
      <c r="K67" s="3"/>
    </row>
    <row r="68" spans="11:11" x14ac:dyDescent="0.2">
      <c r="K68" s="3"/>
    </row>
    <row r="69" spans="11:11" x14ac:dyDescent="0.2">
      <c r="K69" s="3"/>
    </row>
    <row r="70" spans="11:11" x14ac:dyDescent="0.2">
      <c r="K70" s="3"/>
    </row>
    <row r="71" spans="11:11" x14ac:dyDescent="0.2">
      <c r="K71" s="3"/>
    </row>
    <row r="72" spans="11:11" x14ac:dyDescent="0.2">
      <c r="K72" s="3"/>
    </row>
    <row r="73" spans="11:11" x14ac:dyDescent="0.2">
      <c r="K73" s="3"/>
    </row>
    <row r="74" spans="11:11" x14ac:dyDescent="0.2">
      <c r="K74" s="3"/>
    </row>
    <row r="75" spans="11:11" x14ac:dyDescent="0.2">
      <c r="K75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2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6" width="10.875" style="2" customWidth="1"/>
    <col min="7" max="7" width="5.875" style="2" customWidth="1"/>
    <col min="8" max="256" width="9.625" style="2"/>
    <col min="257" max="257" width="13.375" style="2" customWidth="1"/>
    <col min="258" max="258" width="17.125" style="2" customWidth="1"/>
    <col min="259" max="260" width="12.125" style="2" customWidth="1"/>
    <col min="261" max="262" width="10.875" style="2" customWidth="1"/>
    <col min="263" max="263" width="5.875" style="2" customWidth="1"/>
    <col min="264" max="512" width="9.625" style="2"/>
    <col min="513" max="513" width="13.375" style="2" customWidth="1"/>
    <col min="514" max="514" width="17.125" style="2" customWidth="1"/>
    <col min="515" max="516" width="12.125" style="2" customWidth="1"/>
    <col min="517" max="518" width="10.875" style="2" customWidth="1"/>
    <col min="519" max="519" width="5.875" style="2" customWidth="1"/>
    <col min="520" max="768" width="9.625" style="2"/>
    <col min="769" max="769" width="13.375" style="2" customWidth="1"/>
    <col min="770" max="770" width="17.125" style="2" customWidth="1"/>
    <col min="771" max="772" width="12.125" style="2" customWidth="1"/>
    <col min="773" max="774" width="10.875" style="2" customWidth="1"/>
    <col min="775" max="775" width="5.875" style="2" customWidth="1"/>
    <col min="776" max="1024" width="9.625" style="2"/>
    <col min="1025" max="1025" width="13.375" style="2" customWidth="1"/>
    <col min="1026" max="1026" width="17.125" style="2" customWidth="1"/>
    <col min="1027" max="1028" width="12.125" style="2" customWidth="1"/>
    <col min="1029" max="1030" width="10.875" style="2" customWidth="1"/>
    <col min="1031" max="1031" width="5.875" style="2" customWidth="1"/>
    <col min="1032" max="1280" width="9.625" style="2"/>
    <col min="1281" max="1281" width="13.375" style="2" customWidth="1"/>
    <col min="1282" max="1282" width="17.125" style="2" customWidth="1"/>
    <col min="1283" max="1284" width="12.125" style="2" customWidth="1"/>
    <col min="1285" max="1286" width="10.875" style="2" customWidth="1"/>
    <col min="1287" max="1287" width="5.875" style="2" customWidth="1"/>
    <col min="1288" max="1536" width="9.625" style="2"/>
    <col min="1537" max="1537" width="13.375" style="2" customWidth="1"/>
    <col min="1538" max="1538" width="17.125" style="2" customWidth="1"/>
    <col min="1539" max="1540" width="12.125" style="2" customWidth="1"/>
    <col min="1541" max="1542" width="10.875" style="2" customWidth="1"/>
    <col min="1543" max="1543" width="5.875" style="2" customWidth="1"/>
    <col min="1544" max="1792" width="9.625" style="2"/>
    <col min="1793" max="1793" width="13.375" style="2" customWidth="1"/>
    <col min="1794" max="1794" width="17.125" style="2" customWidth="1"/>
    <col min="1795" max="1796" width="12.125" style="2" customWidth="1"/>
    <col min="1797" max="1798" width="10.875" style="2" customWidth="1"/>
    <col min="1799" max="1799" width="5.875" style="2" customWidth="1"/>
    <col min="1800" max="2048" width="9.625" style="2"/>
    <col min="2049" max="2049" width="13.375" style="2" customWidth="1"/>
    <col min="2050" max="2050" width="17.125" style="2" customWidth="1"/>
    <col min="2051" max="2052" width="12.125" style="2" customWidth="1"/>
    <col min="2053" max="2054" width="10.875" style="2" customWidth="1"/>
    <col min="2055" max="2055" width="5.875" style="2" customWidth="1"/>
    <col min="2056" max="2304" width="9.625" style="2"/>
    <col min="2305" max="2305" width="13.375" style="2" customWidth="1"/>
    <col min="2306" max="2306" width="17.125" style="2" customWidth="1"/>
    <col min="2307" max="2308" width="12.125" style="2" customWidth="1"/>
    <col min="2309" max="2310" width="10.875" style="2" customWidth="1"/>
    <col min="2311" max="2311" width="5.875" style="2" customWidth="1"/>
    <col min="2312" max="2560" width="9.625" style="2"/>
    <col min="2561" max="2561" width="13.375" style="2" customWidth="1"/>
    <col min="2562" max="2562" width="17.125" style="2" customWidth="1"/>
    <col min="2563" max="2564" width="12.125" style="2" customWidth="1"/>
    <col min="2565" max="2566" width="10.875" style="2" customWidth="1"/>
    <col min="2567" max="2567" width="5.875" style="2" customWidth="1"/>
    <col min="2568" max="2816" width="9.625" style="2"/>
    <col min="2817" max="2817" width="13.375" style="2" customWidth="1"/>
    <col min="2818" max="2818" width="17.125" style="2" customWidth="1"/>
    <col min="2819" max="2820" width="12.125" style="2" customWidth="1"/>
    <col min="2821" max="2822" width="10.875" style="2" customWidth="1"/>
    <col min="2823" max="2823" width="5.875" style="2" customWidth="1"/>
    <col min="2824" max="3072" width="9.625" style="2"/>
    <col min="3073" max="3073" width="13.375" style="2" customWidth="1"/>
    <col min="3074" max="3074" width="17.125" style="2" customWidth="1"/>
    <col min="3075" max="3076" width="12.125" style="2" customWidth="1"/>
    <col min="3077" max="3078" width="10.875" style="2" customWidth="1"/>
    <col min="3079" max="3079" width="5.875" style="2" customWidth="1"/>
    <col min="3080" max="3328" width="9.625" style="2"/>
    <col min="3329" max="3329" width="13.375" style="2" customWidth="1"/>
    <col min="3330" max="3330" width="17.125" style="2" customWidth="1"/>
    <col min="3331" max="3332" width="12.125" style="2" customWidth="1"/>
    <col min="3333" max="3334" width="10.875" style="2" customWidth="1"/>
    <col min="3335" max="3335" width="5.875" style="2" customWidth="1"/>
    <col min="3336" max="3584" width="9.625" style="2"/>
    <col min="3585" max="3585" width="13.375" style="2" customWidth="1"/>
    <col min="3586" max="3586" width="17.125" style="2" customWidth="1"/>
    <col min="3587" max="3588" width="12.125" style="2" customWidth="1"/>
    <col min="3589" max="3590" width="10.875" style="2" customWidth="1"/>
    <col min="3591" max="3591" width="5.875" style="2" customWidth="1"/>
    <col min="3592" max="3840" width="9.625" style="2"/>
    <col min="3841" max="3841" width="13.375" style="2" customWidth="1"/>
    <col min="3842" max="3842" width="17.125" style="2" customWidth="1"/>
    <col min="3843" max="3844" width="12.125" style="2" customWidth="1"/>
    <col min="3845" max="3846" width="10.875" style="2" customWidth="1"/>
    <col min="3847" max="3847" width="5.875" style="2" customWidth="1"/>
    <col min="3848" max="4096" width="9.625" style="2"/>
    <col min="4097" max="4097" width="13.375" style="2" customWidth="1"/>
    <col min="4098" max="4098" width="17.125" style="2" customWidth="1"/>
    <col min="4099" max="4100" width="12.125" style="2" customWidth="1"/>
    <col min="4101" max="4102" width="10.875" style="2" customWidth="1"/>
    <col min="4103" max="4103" width="5.875" style="2" customWidth="1"/>
    <col min="4104" max="4352" width="9.625" style="2"/>
    <col min="4353" max="4353" width="13.375" style="2" customWidth="1"/>
    <col min="4354" max="4354" width="17.125" style="2" customWidth="1"/>
    <col min="4355" max="4356" width="12.125" style="2" customWidth="1"/>
    <col min="4357" max="4358" width="10.875" style="2" customWidth="1"/>
    <col min="4359" max="4359" width="5.875" style="2" customWidth="1"/>
    <col min="4360" max="4608" width="9.625" style="2"/>
    <col min="4609" max="4609" width="13.375" style="2" customWidth="1"/>
    <col min="4610" max="4610" width="17.125" style="2" customWidth="1"/>
    <col min="4611" max="4612" width="12.125" style="2" customWidth="1"/>
    <col min="4613" max="4614" width="10.875" style="2" customWidth="1"/>
    <col min="4615" max="4615" width="5.875" style="2" customWidth="1"/>
    <col min="4616" max="4864" width="9.625" style="2"/>
    <col min="4865" max="4865" width="13.375" style="2" customWidth="1"/>
    <col min="4866" max="4866" width="17.125" style="2" customWidth="1"/>
    <col min="4867" max="4868" width="12.125" style="2" customWidth="1"/>
    <col min="4869" max="4870" width="10.875" style="2" customWidth="1"/>
    <col min="4871" max="4871" width="5.875" style="2" customWidth="1"/>
    <col min="4872" max="5120" width="9.625" style="2"/>
    <col min="5121" max="5121" width="13.375" style="2" customWidth="1"/>
    <col min="5122" max="5122" width="17.125" style="2" customWidth="1"/>
    <col min="5123" max="5124" width="12.125" style="2" customWidth="1"/>
    <col min="5125" max="5126" width="10.875" style="2" customWidth="1"/>
    <col min="5127" max="5127" width="5.875" style="2" customWidth="1"/>
    <col min="5128" max="5376" width="9.625" style="2"/>
    <col min="5377" max="5377" width="13.375" style="2" customWidth="1"/>
    <col min="5378" max="5378" width="17.125" style="2" customWidth="1"/>
    <col min="5379" max="5380" width="12.125" style="2" customWidth="1"/>
    <col min="5381" max="5382" width="10.875" style="2" customWidth="1"/>
    <col min="5383" max="5383" width="5.875" style="2" customWidth="1"/>
    <col min="5384" max="5632" width="9.625" style="2"/>
    <col min="5633" max="5633" width="13.375" style="2" customWidth="1"/>
    <col min="5634" max="5634" width="17.125" style="2" customWidth="1"/>
    <col min="5635" max="5636" width="12.125" style="2" customWidth="1"/>
    <col min="5637" max="5638" width="10.875" style="2" customWidth="1"/>
    <col min="5639" max="5639" width="5.875" style="2" customWidth="1"/>
    <col min="5640" max="5888" width="9.625" style="2"/>
    <col min="5889" max="5889" width="13.375" style="2" customWidth="1"/>
    <col min="5890" max="5890" width="17.125" style="2" customWidth="1"/>
    <col min="5891" max="5892" width="12.125" style="2" customWidth="1"/>
    <col min="5893" max="5894" width="10.875" style="2" customWidth="1"/>
    <col min="5895" max="5895" width="5.875" style="2" customWidth="1"/>
    <col min="5896" max="6144" width="9.625" style="2"/>
    <col min="6145" max="6145" width="13.375" style="2" customWidth="1"/>
    <col min="6146" max="6146" width="17.125" style="2" customWidth="1"/>
    <col min="6147" max="6148" width="12.125" style="2" customWidth="1"/>
    <col min="6149" max="6150" width="10.875" style="2" customWidth="1"/>
    <col min="6151" max="6151" width="5.875" style="2" customWidth="1"/>
    <col min="6152" max="6400" width="9.625" style="2"/>
    <col min="6401" max="6401" width="13.375" style="2" customWidth="1"/>
    <col min="6402" max="6402" width="17.125" style="2" customWidth="1"/>
    <col min="6403" max="6404" width="12.125" style="2" customWidth="1"/>
    <col min="6405" max="6406" width="10.875" style="2" customWidth="1"/>
    <col min="6407" max="6407" width="5.875" style="2" customWidth="1"/>
    <col min="6408" max="6656" width="9.625" style="2"/>
    <col min="6657" max="6657" width="13.375" style="2" customWidth="1"/>
    <col min="6658" max="6658" width="17.125" style="2" customWidth="1"/>
    <col min="6659" max="6660" width="12.125" style="2" customWidth="1"/>
    <col min="6661" max="6662" width="10.875" style="2" customWidth="1"/>
    <col min="6663" max="6663" width="5.875" style="2" customWidth="1"/>
    <col min="6664" max="6912" width="9.625" style="2"/>
    <col min="6913" max="6913" width="13.375" style="2" customWidth="1"/>
    <col min="6914" max="6914" width="17.125" style="2" customWidth="1"/>
    <col min="6915" max="6916" width="12.125" style="2" customWidth="1"/>
    <col min="6917" max="6918" width="10.875" style="2" customWidth="1"/>
    <col min="6919" max="6919" width="5.875" style="2" customWidth="1"/>
    <col min="6920" max="7168" width="9.625" style="2"/>
    <col min="7169" max="7169" width="13.375" style="2" customWidth="1"/>
    <col min="7170" max="7170" width="17.125" style="2" customWidth="1"/>
    <col min="7171" max="7172" width="12.125" style="2" customWidth="1"/>
    <col min="7173" max="7174" width="10.875" style="2" customWidth="1"/>
    <col min="7175" max="7175" width="5.875" style="2" customWidth="1"/>
    <col min="7176" max="7424" width="9.625" style="2"/>
    <col min="7425" max="7425" width="13.375" style="2" customWidth="1"/>
    <col min="7426" max="7426" width="17.125" style="2" customWidth="1"/>
    <col min="7427" max="7428" width="12.125" style="2" customWidth="1"/>
    <col min="7429" max="7430" width="10.875" style="2" customWidth="1"/>
    <col min="7431" max="7431" width="5.875" style="2" customWidth="1"/>
    <col min="7432" max="7680" width="9.625" style="2"/>
    <col min="7681" max="7681" width="13.375" style="2" customWidth="1"/>
    <col min="7682" max="7682" width="17.125" style="2" customWidth="1"/>
    <col min="7683" max="7684" width="12.125" style="2" customWidth="1"/>
    <col min="7685" max="7686" width="10.875" style="2" customWidth="1"/>
    <col min="7687" max="7687" width="5.875" style="2" customWidth="1"/>
    <col min="7688" max="7936" width="9.625" style="2"/>
    <col min="7937" max="7937" width="13.375" style="2" customWidth="1"/>
    <col min="7938" max="7938" width="17.125" style="2" customWidth="1"/>
    <col min="7939" max="7940" width="12.125" style="2" customWidth="1"/>
    <col min="7941" max="7942" width="10.875" style="2" customWidth="1"/>
    <col min="7943" max="7943" width="5.875" style="2" customWidth="1"/>
    <col min="7944" max="8192" width="9.625" style="2"/>
    <col min="8193" max="8193" width="13.375" style="2" customWidth="1"/>
    <col min="8194" max="8194" width="17.125" style="2" customWidth="1"/>
    <col min="8195" max="8196" width="12.125" style="2" customWidth="1"/>
    <col min="8197" max="8198" width="10.875" style="2" customWidth="1"/>
    <col min="8199" max="8199" width="5.875" style="2" customWidth="1"/>
    <col min="8200" max="8448" width="9.625" style="2"/>
    <col min="8449" max="8449" width="13.375" style="2" customWidth="1"/>
    <col min="8450" max="8450" width="17.125" style="2" customWidth="1"/>
    <col min="8451" max="8452" width="12.125" style="2" customWidth="1"/>
    <col min="8453" max="8454" width="10.875" style="2" customWidth="1"/>
    <col min="8455" max="8455" width="5.875" style="2" customWidth="1"/>
    <col min="8456" max="8704" width="9.625" style="2"/>
    <col min="8705" max="8705" width="13.375" style="2" customWidth="1"/>
    <col min="8706" max="8706" width="17.125" style="2" customWidth="1"/>
    <col min="8707" max="8708" width="12.125" style="2" customWidth="1"/>
    <col min="8709" max="8710" width="10.875" style="2" customWidth="1"/>
    <col min="8711" max="8711" width="5.875" style="2" customWidth="1"/>
    <col min="8712" max="8960" width="9.625" style="2"/>
    <col min="8961" max="8961" width="13.375" style="2" customWidth="1"/>
    <col min="8962" max="8962" width="17.125" style="2" customWidth="1"/>
    <col min="8963" max="8964" width="12.125" style="2" customWidth="1"/>
    <col min="8965" max="8966" width="10.875" style="2" customWidth="1"/>
    <col min="8967" max="8967" width="5.875" style="2" customWidth="1"/>
    <col min="8968" max="9216" width="9.625" style="2"/>
    <col min="9217" max="9217" width="13.375" style="2" customWidth="1"/>
    <col min="9218" max="9218" width="17.125" style="2" customWidth="1"/>
    <col min="9219" max="9220" width="12.125" style="2" customWidth="1"/>
    <col min="9221" max="9222" width="10.875" style="2" customWidth="1"/>
    <col min="9223" max="9223" width="5.875" style="2" customWidth="1"/>
    <col min="9224" max="9472" width="9.625" style="2"/>
    <col min="9473" max="9473" width="13.375" style="2" customWidth="1"/>
    <col min="9474" max="9474" width="17.125" style="2" customWidth="1"/>
    <col min="9475" max="9476" width="12.125" style="2" customWidth="1"/>
    <col min="9477" max="9478" width="10.875" style="2" customWidth="1"/>
    <col min="9479" max="9479" width="5.875" style="2" customWidth="1"/>
    <col min="9480" max="9728" width="9.625" style="2"/>
    <col min="9729" max="9729" width="13.375" style="2" customWidth="1"/>
    <col min="9730" max="9730" width="17.125" style="2" customWidth="1"/>
    <col min="9731" max="9732" width="12.125" style="2" customWidth="1"/>
    <col min="9733" max="9734" width="10.875" style="2" customWidth="1"/>
    <col min="9735" max="9735" width="5.875" style="2" customWidth="1"/>
    <col min="9736" max="9984" width="9.625" style="2"/>
    <col min="9985" max="9985" width="13.375" style="2" customWidth="1"/>
    <col min="9986" max="9986" width="17.125" style="2" customWidth="1"/>
    <col min="9987" max="9988" width="12.125" style="2" customWidth="1"/>
    <col min="9989" max="9990" width="10.875" style="2" customWidth="1"/>
    <col min="9991" max="9991" width="5.875" style="2" customWidth="1"/>
    <col min="9992" max="10240" width="9.625" style="2"/>
    <col min="10241" max="10241" width="13.375" style="2" customWidth="1"/>
    <col min="10242" max="10242" width="17.125" style="2" customWidth="1"/>
    <col min="10243" max="10244" width="12.125" style="2" customWidth="1"/>
    <col min="10245" max="10246" width="10.875" style="2" customWidth="1"/>
    <col min="10247" max="10247" width="5.875" style="2" customWidth="1"/>
    <col min="10248" max="10496" width="9.625" style="2"/>
    <col min="10497" max="10497" width="13.375" style="2" customWidth="1"/>
    <col min="10498" max="10498" width="17.125" style="2" customWidth="1"/>
    <col min="10499" max="10500" width="12.125" style="2" customWidth="1"/>
    <col min="10501" max="10502" width="10.875" style="2" customWidth="1"/>
    <col min="10503" max="10503" width="5.875" style="2" customWidth="1"/>
    <col min="10504" max="10752" width="9.625" style="2"/>
    <col min="10753" max="10753" width="13.375" style="2" customWidth="1"/>
    <col min="10754" max="10754" width="17.125" style="2" customWidth="1"/>
    <col min="10755" max="10756" width="12.125" style="2" customWidth="1"/>
    <col min="10757" max="10758" width="10.875" style="2" customWidth="1"/>
    <col min="10759" max="10759" width="5.875" style="2" customWidth="1"/>
    <col min="10760" max="11008" width="9.625" style="2"/>
    <col min="11009" max="11009" width="13.375" style="2" customWidth="1"/>
    <col min="11010" max="11010" width="17.125" style="2" customWidth="1"/>
    <col min="11011" max="11012" width="12.125" style="2" customWidth="1"/>
    <col min="11013" max="11014" width="10.875" style="2" customWidth="1"/>
    <col min="11015" max="11015" width="5.875" style="2" customWidth="1"/>
    <col min="11016" max="11264" width="9.625" style="2"/>
    <col min="11265" max="11265" width="13.375" style="2" customWidth="1"/>
    <col min="11266" max="11266" width="17.125" style="2" customWidth="1"/>
    <col min="11267" max="11268" width="12.125" style="2" customWidth="1"/>
    <col min="11269" max="11270" width="10.875" style="2" customWidth="1"/>
    <col min="11271" max="11271" width="5.875" style="2" customWidth="1"/>
    <col min="11272" max="11520" width="9.625" style="2"/>
    <col min="11521" max="11521" width="13.375" style="2" customWidth="1"/>
    <col min="11522" max="11522" width="17.125" style="2" customWidth="1"/>
    <col min="11523" max="11524" width="12.125" style="2" customWidth="1"/>
    <col min="11525" max="11526" width="10.875" style="2" customWidth="1"/>
    <col min="11527" max="11527" width="5.875" style="2" customWidth="1"/>
    <col min="11528" max="11776" width="9.625" style="2"/>
    <col min="11777" max="11777" width="13.375" style="2" customWidth="1"/>
    <col min="11778" max="11778" width="17.125" style="2" customWidth="1"/>
    <col min="11779" max="11780" width="12.125" style="2" customWidth="1"/>
    <col min="11781" max="11782" width="10.875" style="2" customWidth="1"/>
    <col min="11783" max="11783" width="5.875" style="2" customWidth="1"/>
    <col min="11784" max="12032" width="9.625" style="2"/>
    <col min="12033" max="12033" width="13.375" style="2" customWidth="1"/>
    <col min="12034" max="12034" width="17.125" style="2" customWidth="1"/>
    <col min="12035" max="12036" width="12.125" style="2" customWidth="1"/>
    <col min="12037" max="12038" width="10.875" style="2" customWidth="1"/>
    <col min="12039" max="12039" width="5.875" style="2" customWidth="1"/>
    <col min="12040" max="12288" width="9.625" style="2"/>
    <col min="12289" max="12289" width="13.375" style="2" customWidth="1"/>
    <col min="12290" max="12290" width="17.125" style="2" customWidth="1"/>
    <col min="12291" max="12292" width="12.125" style="2" customWidth="1"/>
    <col min="12293" max="12294" width="10.875" style="2" customWidth="1"/>
    <col min="12295" max="12295" width="5.875" style="2" customWidth="1"/>
    <col min="12296" max="12544" width="9.625" style="2"/>
    <col min="12545" max="12545" width="13.375" style="2" customWidth="1"/>
    <col min="12546" max="12546" width="17.125" style="2" customWidth="1"/>
    <col min="12547" max="12548" width="12.125" style="2" customWidth="1"/>
    <col min="12549" max="12550" width="10.875" style="2" customWidth="1"/>
    <col min="12551" max="12551" width="5.875" style="2" customWidth="1"/>
    <col min="12552" max="12800" width="9.625" style="2"/>
    <col min="12801" max="12801" width="13.375" style="2" customWidth="1"/>
    <col min="12802" max="12802" width="17.125" style="2" customWidth="1"/>
    <col min="12803" max="12804" width="12.125" style="2" customWidth="1"/>
    <col min="12805" max="12806" width="10.875" style="2" customWidth="1"/>
    <col min="12807" max="12807" width="5.875" style="2" customWidth="1"/>
    <col min="12808" max="13056" width="9.625" style="2"/>
    <col min="13057" max="13057" width="13.375" style="2" customWidth="1"/>
    <col min="13058" max="13058" width="17.125" style="2" customWidth="1"/>
    <col min="13059" max="13060" width="12.125" style="2" customWidth="1"/>
    <col min="13061" max="13062" width="10.875" style="2" customWidth="1"/>
    <col min="13063" max="13063" width="5.875" style="2" customWidth="1"/>
    <col min="13064" max="13312" width="9.625" style="2"/>
    <col min="13313" max="13313" width="13.375" style="2" customWidth="1"/>
    <col min="13314" max="13314" width="17.125" style="2" customWidth="1"/>
    <col min="13315" max="13316" width="12.125" style="2" customWidth="1"/>
    <col min="13317" max="13318" width="10.875" style="2" customWidth="1"/>
    <col min="13319" max="13319" width="5.875" style="2" customWidth="1"/>
    <col min="13320" max="13568" width="9.625" style="2"/>
    <col min="13569" max="13569" width="13.375" style="2" customWidth="1"/>
    <col min="13570" max="13570" width="17.125" style="2" customWidth="1"/>
    <col min="13571" max="13572" width="12.125" style="2" customWidth="1"/>
    <col min="13573" max="13574" width="10.875" style="2" customWidth="1"/>
    <col min="13575" max="13575" width="5.875" style="2" customWidth="1"/>
    <col min="13576" max="13824" width="9.625" style="2"/>
    <col min="13825" max="13825" width="13.375" style="2" customWidth="1"/>
    <col min="13826" max="13826" width="17.125" style="2" customWidth="1"/>
    <col min="13827" max="13828" width="12.125" style="2" customWidth="1"/>
    <col min="13829" max="13830" width="10.875" style="2" customWidth="1"/>
    <col min="13831" max="13831" width="5.875" style="2" customWidth="1"/>
    <col min="13832" max="14080" width="9.625" style="2"/>
    <col min="14081" max="14081" width="13.375" style="2" customWidth="1"/>
    <col min="14082" max="14082" width="17.125" style="2" customWidth="1"/>
    <col min="14083" max="14084" width="12.125" style="2" customWidth="1"/>
    <col min="14085" max="14086" width="10.875" style="2" customWidth="1"/>
    <col min="14087" max="14087" width="5.875" style="2" customWidth="1"/>
    <col min="14088" max="14336" width="9.625" style="2"/>
    <col min="14337" max="14337" width="13.375" style="2" customWidth="1"/>
    <col min="14338" max="14338" width="17.125" style="2" customWidth="1"/>
    <col min="14339" max="14340" width="12.125" style="2" customWidth="1"/>
    <col min="14341" max="14342" width="10.875" style="2" customWidth="1"/>
    <col min="14343" max="14343" width="5.875" style="2" customWidth="1"/>
    <col min="14344" max="14592" width="9.625" style="2"/>
    <col min="14593" max="14593" width="13.375" style="2" customWidth="1"/>
    <col min="14594" max="14594" width="17.125" style="2" customWidth="1"/>
    <col min="14595" max="14596" width="12.125" style="2" customWidth="1"/>
    <col min="14597" max="14598" width="10.875" style="2" customWidth="1"/>
    <col min="14599" max="14599" width="5.875" style="2" customWidth="1"/>
    <col min="14600" max="14848" width="9.625" style="2"/>
    <col min="14849" max="14849" width="13.375" style="2" customWidth="1"/>
    <col min="14850" max="14850" width="17.125" style="2" customWidth="1"/>
    <col min="14851" max="14852" width="12.125" style="2" customWidth="1"/>
    <col min="14853" max="14854" width="10.875" style="2" customWidth="1"/>
    <col min="14855" max="14855" width="5.875" style="2" customWidth="1"/>
    <col min="14856" max="15104" width="9.625" style="2"/>
    <col min="15105" max="15105" width="13.375" style="2" customWidth="1"/>
    <col min="15106" max="15106" width="17.125" style="2" customWidth="1"/>
    <col min="15107" max="15108" width="12.125" style="2" customWidth="1"/>
    <col min="15109" max="15110" width="10.875" style="2" customWidth="1"/>
    <col min="15111" max="15111" width="5.875" style="2" customWidth="1"/>
    <col min="15112" max="15360" width="9.625" style="2"/>
    <col min="15361" max="15361" width="13.375" style="2" customWidth="1"/>
    <col min="15362" max="15362" width="17.125" style="2" customWidth="1"/>
    <col min="15363" max="15364" width="12.125" style="2" customWidth="1"/>
    <col min="15365" max="15366" width="10.875" style="2" customWidth="1"/>
    <col min="15367" max="15367" width="5.875" style="2" customWidth="1"/>
    <col min="15368" max="15616" width="9.625" style="2"/>
    <col min="15617" max="15617" width="13.375" style="2" customWidth="1"/>
    <col min="15618" max="15618" width="17.125" style="2" customWidth="1"/>
    <col min="15619" max="15620" width="12.125" style="2" customWidth="1"/>
    <col min="15621" max="15622" width="10.875" style="2" customWidth="1"/>
    <col min="15623" max="15623" width="5.875" style="2" customWidth="1"/>
    <col min="15624" max="15872" width="9.625" style="2"/>
    <col min="15873" max="15873" width="13.375" style="2" customWidth="1"/>
    <col min="15874" max="15874" width="17.125" style="2" customWidth="1"/>
    <col min="15875" max="15876" width="12.125" style="2" customWidth="1"/>
    <col min="15877" max="15878" width="10.875" style="2" customWidth="1"/>
    <col min="15879" max="15879" width="5.875" style="2" customWidth="1"/>
    <col min="15880" max="16128" width="9.625" style="2"/>
    <col min="16129" max="16129" width="13.375" style="2" customWidth="1"/>
    <col min="16130" max="16130" width="17.125" style="2" customWidth="1"/>
    <col min="16131" max="16132" width="12.125" style="2" customWidth="1"/>
    <col min="16133" max="16134" width="10.875" style="2" customWidth="1"/>
    <col min="16135" max="16135" width="5.875" style="2" customWidth="1"/>
    <col min="16136" max="16384" width="9.625" style="2"/>
  </cols>
  <sheetData>
    <row r="1" spans="1:7" x14ac:dyDescent="0.2">
      <c r="A1" s="1"/>
    </row>
    <row r="6" spans="1:7" x14ac:dyDescent="0.2">
      <c r="C6" s="4" t="s">
        <v>69</v>
      </c>
    </row>
    <row r="7" spans="1:7" ht="18" thickBot="1" x14ac:dyDescent="0.25">
      <c r="B7" s="6"/>
      <c r="C7" s="7" t="s">
        <v>70</v>
      </c>
      <c r="D7" s="7" t="s">
        <v>71</v>
      </c>
      <c r="E7" s="6"/>
      <c r="F7" s="6"/>
      <c r="G7" s="3"/>
    </row>
    <row r="8" spans="1:7" x14ac:dyDescent="0.2">
      <c r="C8" s="14"/>
      <c r="D8" s="31" t="s">
        <v>72</v>
      </c>
      <c r="E8" s="12"/>
      <c r="F8" s="12"/>
      <c r="G8" s="3"/>
    </row>
    <row r="9" spans="1:7" x14ac:dyDescent="0.2">
      <c r="C9" s="10"/>
      <c r="D9" s="13" t="s">
        <v>73</v>
      </c>
      <c r="E9" s="13" t="s">
        <v>74</v>
      </c>
      <c r="F9" s="13" t="s">
        <v>75</v>
      </c>
      <c r="G9" s="3"/>
    </row>
    <row r="10" spans="1:7" x14ac:dyDescent="0.2">
      <c r="B10" s="12"/>
      <c r="C10" s="17" t="s">
        <v>76</v>
      </c>
      <c r="D10" s="29" t="s">
        <v>77</v>
      </c>
      <c r="E10" s="29" t="s">
        <v>78</v>
      </c>
      <c r="F10" s="17" t="s">
        <v>78</v>
      </c>
      <c r="G10" s="3"/>
    </row>
    <row r="11" spans="1:7" x14ac:dyDescent="0.2">
      <c r="B11" s="3"/>
      <c r="C11" s="10"/>
      <c r="D11" s="3"/>
      <c r="E11" s="3"/>
      <c r="F11" s="3"/>
      <c r="G11" s="3"/>
    </row>
    <row r="12" spans="1:7" x14ac:dyDescent="0.2">
      <c r="B12" s="1" t="s">
        <v>79</v>
      </c>
      <c r="C12" s="28">
        <v>423</v>
      </c>
      <c r="D12" s="5">
        <v>210</v>
      </c>
      <c r="E12" s="5">
        <v>255</v>
      </c>
      <c r="F12" s="5">
        <v>83</v>
      </c>
      <c r="G12" s="3"/>
    </row>
    <row r="13" spans="1:7" x14ac:dyDescent="0.2">
      <c r="B13" s="4" t="s">
        <v>80</v>
      </c>
      <c r="C13" s="20">
        <f>SUM(C15:C71)</f>
        <v>421</v>
      </c>
      <c r="D13" s="21">
        <f>SUM(D15:D71)</f>
        <v>215</v>
      </c>
      <c r="E13" s="21">
        <f>SUM(E15:E71)</f>
        <v>252</v>
      </c>
      <c r="F13" s="21">
        <f>SUM(F15:F71)</f>
        <v>81</v>
      </c>
      <c r="G13" s="3"/>
    </row>
    <row r="14" spans="1:7" x14ac:dyDescent="0.2">
      <c r="C14" s="28"/>
      <c r="D14" s="5"/>
      <c r="E14" s="5"/>
      <c r="F14" s="5"/>
      <c r="G14" s="3"/>
    </row>
    <row r="15" spans="1:7" x14ac:dyDescent="0.2">
      <c r="B15" s="1" t="s">
        <v>81</v>
      </c>
      <c r="C15" s="28">
        <v>176</v>
      </c>
      <c r="D15" s="5">
        <v>120</v>
      </c>
      <c r="E15" s="5">
        <v>80</v>
      </c>
      <c r="F15" s="5">
        <v>12</v>
      </c>
      <c r="G15" s="3"/>
    </row>
    <row r="16" spans="1:7" x14ac:dyDescent="0.2">
      <c r="B16" s="1" t="s">
        <v>82</v>
      </c>
      <c r="C16" s="28">
        <v>19</v>
      </c>
      <c r="D16" s="5">
        <v>5</v>
      </c>
      <c r="E16" s="5">
        <v>11</v>
      </c>
      <c r="F16" s="5">
        <v>2</v>
      </c>
      <c r="G16" s="3"/>
    </row>
    <row r="17" spans="2:7" x14ac:dyDescent="0.2">
      <c r="B17" s="1" t="s">
        <v>83</v>
      </c>
      <c r="C17" s="28">
        <v>19</v>
      </c>
      <c r="D17" s="5">
        <v>6</v>
      </c>
      <c r="E17" s="5">
        <v>12</v>
      </c>
      <c r="F17" s="5">
        <v>1</v>
      </c>
      <c r="G17" s="3"/>
    </row>
    <row r="18" spans="2:7" x14ac:dyDescent="0.2">
      <c r="B18" s="1" t="s">
        <v>84</v>
      </c>
      <c r="C18" s="28">
        <v>15</v>
      </c>
      <c r="D18" s="5">
        <v>6</v>
      </c>
      <c r="E18" s="5">
        <v>2</v>
      </c>
      <c r="F18" s="5">
        <v>2</v>
      </c>
      <c r="G18" s="3"/>
    </row>
    <row r="19" spans="2:7" x14ac:dyDescent="0.2">
      <c r="B19" s="1" t="s">
        <v>85</v>
      </c>
      <c r="C19" s="28">
        <v>14</v>
      </c>
      <c r="D19" s="5">
        <v>4</v>
      </c>
      <c r="E19" s="5">
        <v>11</v>
      </c>
      <c r="F19" s="5">
        <v>2</v>
      </c>
      <c r="G19" s="3"/>
    </row>
    <row r="20" spans="2:7" x14ac:dyDescent="0.2">
      <c r="B20" s="1" t="s">
        <v>86</v>
      </c>
      <c r="C20" s="28">
        <v>27</v>
      </c>
      <c r="D20" s="5">
        <v>16</v>
      </c>
      <c r="E20" s="5">
        <v>19</v>
      </c>
      <c r="F20" s="5">
        <v>6</v>
      </c>
      <c r="G20" s="3"/>
    </row>
    <row r="21" spans="2:7" x14ac:dyDescent="0.2">
      <c r="B21" s="1" t="s">
        <v>87</v>
      </c>
      <c r="C21" s="28">
        <v>16</v>
      </c>
      <c r="D21" s="5">
        <v>13</v>
      </c>
      <c r="E21" s="5">
        <v>13</v>
      </c>
      <c r="F21" s="5">
        <v>5</v>
      </c>
      <c r="G21" s="3"/>
    </row>
    <row r="22" spans="2:7" x14ac:dyDescent="0.2">
      <c r="C22" s="28"/>
      <c r="D22" s="5"/>
      <c r="E22" s="5"/>
      <c r="F22" s="5"/>
      <c r="G22" s="3"/>
    </row>
    <row r="23" spans="2:7" x14ac:dyDescent="0.2">
      <c r="B23" s="1" t="s">
        <v>88</v>
      </c>
      <c r="C23" s="28">
        <v>5</v>
      </c>
      <c r="D23" s="19" t="s">
        <v>89</v>
      </c>
      <c r="E23" s="5">
        <v>6</v>
      </c>
      <c r="F23" s="19" t="s">
        <v>89</v>
      </c>
      <c r="G23" s="3"/>
    </row>
    <row r="24" spans="2:7" x14ac:dyDescent="0.2">
      <c r="B24" s="1" t="s">
        <v>90</v>
      </c>
      <c r="C24" s="28">
        <v>3</v>
      </c>
      <c r="D24" s="19" t="s">
        <v>89</v>
      </c>
      <c r="E24" s="5">
        <v>1</v>
      </c>
      <c r="F24" s="19" t="s">
        <v>89</v>
      </c>
      <c r="G24" s="3"/>
    </row>
    <row r="25" spans="2:7" x14ac:dyDescent="0.2">
      <c r="B25" s="1" t="s">
        <v>91</v>
      </c>
      <c r="C25" s="28">
        <v>1</v>
      </c>
      <c r="D25" s="19" t="s">
        <v>89</v>
      </c>
      <c r="E25" s="5">
        <v>2</v>
      </c>
      <c r="F25" s="19" t="s">
        <v>89</v>
      </c>
      <c r="G25" s="3"/>
    </row>
    <row r="26" spans="2:7" x14ac:dyDescent="0.2">
      <c r="B26" s="1" t="s">
        <v>92</v>
      </c>
      <c r="C26" s="28">
        <v>8</v>
      </c>
      <c r="D26" s="5">
        <v>1</v>
      </c>
      <c r="E26" s="5">
        <v>3</v>
      </c>
      <c r="F26" s="19" t="s">
        <v>89</v>
      </c>
      <c r="G26" s="3"/>
    </row>
    <row r="27" spans="2:7" x14ac:dyDescent="0.2">
      <c r="B27" s="1" t="s">
        <v>93</v>
      </c>
      <c r="C27" s="28">
        <v>5</v>
      </c>
      <c r="D27" s="5">
        <v>1</v>
      </c>
      <c r="E27" s="5">
        <v>4</v>
      </c>
      <c r="F27" s="19" t="s">
        <v>89</v>
      </c>
      <c r="G27" s="3"/>
    </row>
    <row r="28" spans="2:7" x14ac:dyDescent="0.2">
      <c r="B28" s="1" t="s">
        <v>94</v>
      </c>
      <c r="C28" s="28">
        <v>4</v>
      </c>
      <c r="D28" s="5">
        <v>2</v>
      </c>
      <c r="E28" s="5">
        <v>2</v>
      </c>
      <c r="F28" s="19" t="s">
        <v>89</v>
      </c>
      <c r="G28" s="3"/>
    </row>
    <row r="29" spans="2:7" x14ac:dyDescent="0.2">
      <c r="B29" s="1" t="s">
        <v>95</v>
      </c>
      <c r="C29" s="28">
        <v>3</v>
      </c>
      <c r="D29" s="19" t="s">
        <v>89</v>
      </c>
      <c r="E29" s="5">
        <v>2</v>
      </c>
      <c r="F29" s="5">
        <v>1</v>
      </c>
      <c r="G29" s="3"/>
    </row>
    <row r="30" spans="2:7" x14ac:dyDescent="0.2">
      <c r="B30" s="1" t="s">
        <v>96</v>
      </c>
      <c r="C30" s="28">
        <v>8</v>
      </c>
      <c r="D30" s="5">
        <v>3</v>
      </c>
      <c r="E30" s="5">
        <v>2</v>
      </c>
      <c r="F30" s="19" t="s">
        <v>89</v>
      </c>
      <c r="G30" s="3"/>
    </row>
    <row r="31" spans="2:7" x14ac:dyDescent="0.2">
      <c r="B31" s="1" t="s">
        <v>97</v>
      </c>
      <c r="C31" s="28">
        <v>15</v>
      </c>
      <c r="D31" s="5">
        <v>9</v>
      </c>
      <c r="E31" s="5">
        <v>2</v>
      </c>
      <c r="F31" s="19" t="s">
        <v>89</v>
      </c>
      <c r="G31" s="3"/>
    </row>
    <row r="32" spans="2:7" x14ac:dyDescent="0.2">
      <c r="C32" s="10"/>
      <c r="G32" s="3"/>
    </row>
    <row r="33" spans="2:7" x14ac:dyDescent="0.2">
      <c r="B33" s="1" t="s">
        <v>98</v>
      </c>
      <c r="C33" s="28">
        <v>6</v>
      </c>
      <c r="D33" s="5">
        <v>4</v>
      </c>
      <c r="E33" s="5">
        <v>8</v>
      </c>
      <c r="F33" s="19" t="s">
        <v>89</v>
      </c>
      <c r="G33" s="3"/>
    </row>
    <row r="34" spans="2:7" x14ac:dyDescent="0.2">
      <c r="B34" s="1" t="s">
        <v>99</v>
      </c>
      <c r="C34" s="28">
        <v>5</v>
      </c>
      <c r="D34" s="5">
        <v>4</v>
      </c>
      <c r="E34" s="5">
        <v>2</v>
      </c>
      <c r="F34" s="19" t="s">
        <v>89</v>
      </c>
      <c r="G34" s="3"/>
    </row>
    <row r="35" spans="2:7" x14ac:dyDescent="0.2">
      <c r="B35" s="1" t="s">
        <v>100</v>
      </c>
      <c r="C35" s="28">
        <v>3</v>
      </c>
      <c r="D35" s="19" t="s">
        <v>89</v>
      </c>
      <c r="E35" s="5">
        <v>1</v>
      </c>
      <c r="F35" s="19" t="s">
        <v>89</v>
      </c>
      <c r="G35" s="3"/>
    </row>
    <row r="36" spans="2:7" x14ac:dyDescent="0.2">
      <c r="B36" s="1" t="s">
        <v>101</v>
      </c>
      <c r="C36" s="28">
        <v>3</v>
      </c>
      <c r="D36" s="5">
        <v>1</v>
      </c>
      <c r="E36" s="5">
        <v>4</v>
      </c>
      <c r="F36" s="5">
        <v>26</v>
      </c>
      <c r="G36" s="3"/>
    </row>
    <row r="37" spans="2:7" x14ac:dyDescent="0.2">
      <c r="B37" s="1" t="s">
        <v>102</v>
      </c>
      <c r="C37" s="32" t="s">
        <v>89</v>
      </c>
      <c r="D37" s="19" t="s">
        <v>89</v>
      </c>
      <c r="E37" s="19" t="s">
        <v>89</v>
      </c>
      <c r="F37" s="19" t="s">
        <v>89</v>
      </c>
      <c r="G37" s="3"/>
    </row>
    <row r="38" spans="2:7" x14ac:dyDescent="0.2">
      <c r="C38" s="10"/>
      <c r="G38" s="3"/>
    </row>
    <row r="39" spans="2:7" x14ac:dyDescent="0.2">
      <c r="B39" s="1" t="s">
        <v>103</v>
      </c>
      <c r="C39" s="28">
        <v>8</v>
      </c>
      <c r="D39" s="5">
        <v>1</v>
      </c>
      <c r="E39" s="5">
        <v>4</v>
      </c>
      <c r="F39" s="19" t="s">
        <v>89</v>
      </c>
      <c r="G39" s="3"/>
    </row>
    <row r="40" spans="2:7" x14ac:dyDescent="0.2">
      <c r="B40" s="1" t="s">
        <v>104</v>
      </c>
      <c r="C40" s="28">
        <v>2</v>
      </c>
      <c r="D40" s="5">
        <v>1</v>
      </c>
      <c r="E40" s="19" t="s">
        <v>89</v>
      </c>
      <c r="F40" s="19" t="s">
        <v>89</v>
      </c>
      <c r="G40" s="3"/>
    </row>
    <row r="41" spans="2:7" x14ac:dyDescent="0.2">
      <c r="B41" s="1" t="s">
        <v>105</v>
      </c>
      <c r="C41" s="28">
        <v>7</v>
      </c>
      <c r="D41" s="5">
        <v>6</v>
      </c>
      <c r="E41" s="5">
        <v>2</v>
      </c>
      <c r="F41" s="19" t="s">
        <v>89</v>
      </c>
      <c r="G41" s="3"/>
    </row>
    <row r="42" spans="2:7" x14ac:dyDescent="0.2">
      <c r="B42" s="1" t="s">
        <v>106</v>
      </c>
      <c r="C42" s="28">
        <v>2</v>
      </c>
      <c r="D42" s="19" t="s">
        <v>89</v>
      </c>
      <c r="E42" s="5">
        <v>1</v>
      </c>
      <c r="F42" s="19" t="s">
        <v>89</v>
      </c>
      <c r="G42" s="3"/>
    </row>
    <row r="43" spans="2:7" x14ac:dyDescent="0.2">
      <c r="B43" s="1" t="s">
        <v>107</v>
      </c>
      <c r="C43" s="28">
        <v>2</v>
      </c>
      <c r="D43" s="19" t="s">
        <v>89</v>
      </c>
      <c r="E43" s="5">
        <v>5</v>
      </c>
      <c r="F43" s="5">
        <v>1</v>
      </c>
      <c r="G43" s="3"/>
    </row>
    <row r="44" spans="2:7" x14ac:dyDescent="0.2">
      <c r="C44" s="10"/>
      <c r="G44" s="3"/>
    </row>
    <row r="45" spans="2:7" x14ac:dyDescent="0.2">
      <c r="B45" s="1" t="s">
        <v>108</v>
      </c>
      <c r="C45" s="28">
        <v>3</v>
      </c>
      <c r="D45" s="5">
        <v>2</v>
      </c>
      <c r="E45" s="5">
        <v>1</v>
      </c>
      <c r="F45" s="19" t="s">
        <v>89</v>
      </c>
      <c r="G45" s="3"/>
    </row>
    <row r="46" spans="2:7" x14ac:dyDescent="0.2">
      <c r="B46" s="1" t="s">
        <v>109</v>
      </c>
      <c r="C46" s="28">
        <v>2</v>
      </c>
      <c r="D46" s="5">
        <v>2</v>
      </c>
      <c r="E46" s="19" t="s">
        <v>89</v>
      </c>
      <c r="F46" s="5">
        <v>2</v>
      </c>
      <c r="G46" s="3"/>
    </row>
    <row r="47" spans="2:7" x14ac:dyDescent="0.2">
      <c r="B47" s="1" t="s">
        <v>110</v>
      </c>
      <c r="C47" s="28">
        <v>2</v>
      </c>
      <c r="D47" s="19" t="s">
        <v>89</v>
      </c>
      <c r="E47" s="5">
        <v>1</v>
      </c>
      <c r="F47" s="19" t="s">
        <v>89</v>
      </c>
      <c r="G47" s="3"/>
    </row>
    <row r="48" spans="2:7" x14ac:dyDescent="0.2">
      <c r="B48" s="1" t="s">
        <v>111</v>
      </c>
      <c r="C48" s="28">
        <v>1</v>
      </c>
      <c r="D48" s="19" t="s">
        <v>89</v>
      </c>
      <c r="E48" s="5">
        <v>2</v>
      </c>
      <c r="F48" s="19" t="s">
        <v>89</v>
      </c>
      <c r="G48" s="3"/>
    </row>
    <row r="49" spans="2:7" x14ac:dyDescent="0.2">
      <c r="B49" s="1" t="s">
        <v>112</v>
      </c>
      <c r="C49" s="32" t="s">
        <v>89</v>
      </c>
      <c r="D49" s="19" t="s">
        <v>89</v>
      </c>
      <c r="E49" s="5">
        <v>1</v>
      </c>
      <c r="F49" s="19" t="s">
        <v>89</v>
      </c>
      <c r="G49" s="3"/>
    </row>
    <row r="50" spans="2:7" x14ac:dyDescent="0.2">
      <c r="B50" s="1" t="s">
        <v>113</v>
      </c>
      <c r="C50" s="28">
        <v>1</v>
      </c>
      <c r="D50" s="19" t="s">
        <v>89</v>
      </c>
      <c r="E50" s="19" t="s">
        <v>89</v>
      </c>
      <c r="F50" s="19" t="s">
        <v>89</v>
      </c>
      <c r="G50" s="3"/>
    </row>
    <row r="51" spans="2:7" x14ac:dyDescent="0.2">
      <c r="B51" s="1" t="s">
        <v>114</v>
      </c>
      <c r="C51" s="32" t="s">
        <v>89</v>
      </c>
      <c r="D51" s="19" t="s">
        <v>89</v>
      </c>
      <c r="E51" s="5">
        <v>6</v>
      </c>
      <c r="F51" s="5">
        <v>2</v>
      </c>
      <c r="G51" s="3"/>
    </row>
    <row r="52" spans="2:7" x14ac:dyDescent="0.2">
      <c r="B52" s="1" t="s">
        <v>115</v>
      </c>
      <c r="C52" s="32" t="s">
        <v>89</v>
      </c>
      <c r="D52" s="5">
        <v>1</v>
      </c>
      <c r="E52" s="5">
        <v>2</v>
      </c>
      <c r="F52" s="19" t="s">
        <v>89</v>
      </c>
      <c r="G52" s="3"/>
    </row>
    <row r="53" spans="2:7" x14ac:dyDescent="0.2">
      <c r="B53" s="1" t="s">
        <v>116</v>
      </c>
      <c r="C53" s="28">
        <v>5</v>
      </c>
      <c r="D53" s="19" t="s">
        <v>89</v>
      </c>
      <c r="E53" s="5">
        <v>2</v>
      </c>
      <c r="F53" s="5">
        <v>2</v>
      </c>
      <c r="G53" s="3"/>
    </row>
    <row r="54" spans="2:7" x14ac:dyDescent="0.2">
      <c r="B54" s="1" t="s">
        <v>117</v>
      </c>
      <c r="C54" s="28">
        <v>2</v>
      </c>
      <c r="D54" s="5">
        <v>1</v>
      </c>
      <c r="E54" s="5">
        <v>2</v>
      </c>
      <c r="F54" s="19" t="s">
        <v>89</v>
      </c>
      <c r="G54" s="3"/>
    </row>
    <row r="55" spans="2:7" x14ac:dyDescent="0.2">
      <c r="C55" s="10"/>
      <c r="G55" s="3"/>
    </row>
    <row r="56" spans="2:7" x14ac:dyDescent="0.2">
      <c r="B56" s="1" t="s">
        <v>118</v>
      </c>
      <c r="C56" s="28">
        <v>6</v>
      </c>
      <c r="D56" s="5">
        <v>3</v>
      </c>
      <c r="E56" s="5">
        <v>5</v>
      </c>
      <c r="F56" s="5">
        <v>1</v>
      </c>
      <c r="G56" s="3"/>
    </row>
    <row r="57" spans="2:7" x14ac:dyDescent="0.2">
      <c r="B57" s="1" t="s">
        <v>119</v>
      </c>
      <c r="C57" s="32" t="s">
        <v>89</v>
      </c>
      <c r="D57" s="19" t="s">
        <v>89</v>
      </c>
      <c r="E57" s="5">
        <v>2</v>
      </c>
      <c r="F57" s="5">
        <v>1</v>
      </c>
      <c r="G57" s="3"/>
    </row>
    <row r="58" spans="2:7" x14ac:dyDescent="0.2">
      <c r="B58" s="1" t="s">
        <v>120</v>
      </c>
      <c r="C58" s="32" t="s">
        <v>89</v>
      </c>
      <c r="D58" s="19" t="s">
        <v>89</v>
      </c>
      <c r="E58" s="5">
        <v>1</v>
      </c>
      <c r="F58" s="5">
        <v>2</v>
      </c>
      <c r="G58" s="3"/>
    </row>
    <row r="59" spans="2:7" x14ac:dyDescent="0.2">
      <c r="B59" s="1" t="s">
        <v>121</v>
      </c>
      <c r="C59" s="28">
        <v>3</v>
      </c>
      <c r="D59" s="5">
        <v>1</v>
      </c>
      <c r="E59" s="5">
        <v>1</v>
      </c>
      <c r="F59" s="5">
        <v>3</v>
      </c>
      <c r="G59" s="3"/>
    </row>
    <row r="60" spans="2:7" x14ac:dyDescent="0.2">
      <c r="B60" s="1" t="s">
        <v>122</v>
      </c>
      <c r="C60" s="28">
        <v>1</v>
      </c>
      <c r="D60" s="19" t="s">
        <v>89</v>
      </c>
      <c r="E60" s="5">
        <v>1</v>
      </c>
      <c r="F60" s="5">
        <v>2</v>
      </c>
      <c r="G60" s="3"/>
    </row>
    <row r="61" spans="2:7" x14ac:dyDescent="0.2">
      <c r="B61" s="1" t="s">
        <v>123</v>
      </c>
      <c r="C61" s="28">
        <v>2</v>
      </c>
      <c r="D61" s="5">
        <v>1</v>
      </c>
      <c r="E61" s="5">
        <v>1</v>
      </c>
      <c r="F61" s="19" t="s">
        <v>89</v>
      </c>
      <c r="G61" s="3"/>
    </row>
    <row r="62" spans="2:7" x14ac:dyDescent="0.2">
      <c r="B62" s="1" t="s">
        <v>124</v>
      </c>
      <c r="C62" s="28">
        <v>6</v>
      </c>
      <c r="D62" s="19" t="s">
        <v>89</v>
      </c>
      <c r="E62" s="5">
        <v>8</v>
      </c>
      <c r="F62" s="5">
        <v>2</v>
      </c>
      <c r="G62" s="3"/>
    </row>
    <row r="63" spans="2:7" x14ac:dyDescent="0.2">
      <c r="C63" s="10"/>
      <c r="G63" s="3"/>
    </row>
    <row r="64" spans="2:7" x14ac:dyDescent="0.2">
      <c r="B64" s="1" t="s">
        <v>125</v>
      </c>
      <c r="C64" s="28">
        <v>8</v>
      </c>
      <c r="D64" s="5">
        <v>1</v>
      </c>
      <c r="E64" s="5">
        <v>8</v>
      </c>
      <c r="F64" s="5">
        <v>2</v>
      </c>
      <c r="G64" s="3"/>
    </row>
    <row r="65" spans="1:7" x14ac:dyDescent="0.2">
      <c r="B65" s="1" t="s">
        <v>126</v>
      </c>
      <c r="C65" s="32" t="s">
        <v>89</v>
      </c>
      <c r="D65" s="19" t="s">
        <v>89</v>
      </c>
      <c r="E65" s="5">
        <v>1</v>
      </c>
      <c r="F65" s="19" t="s">
        <v>89</v>
      </c>
      <c r="G65" s="3"/>
    </row>
    <row r="66" spans="1:7" x14ac:dyDescent="0.2">
      <c r="B66" s="1" t="s">
        <v>127</v>
      </c>
      <c r="C66" s="28">
        <v>3</v>
      </c>
      <c r="D66" s="19" t="s">
        <v>89</v>
      </c>
      <c r="E66" s="5">
        <v>2</v>
      </c>
      <c r="F66" s="19" t="s">
        <v>89</v>
      </c>
      <c r="G66" s="3"/>
    </row>
    <row r="67" spans="1:7" x14ac:dyDescent="0.2">
      <c r="B67" s="1" t="s">
        <v>128</v>
      </c>
      <c r="C67" s="32" t="s">
        <v>89</v>
      </c>
      <c r="D67" s="19" t="s">
        <v>89</v>
      </c>
      <c r="E67" s="5">
        <v>3</v>
      </c>
      <c r="F67" s="5">
        <v>3</v>
      </c>
      <c r="G67" s="3"/>
    </row>
    <row r="68" spans="1:7" x14ac:dyDescent="0.2">
      <c r="B68" s="1" t="s">
        <v>129</v>
      </c>
      <c r="C68" s="32" t="s">
        <v>89</v>
      </c>
      <c r="D68" s="19" t="s">
        <v>89</v>
      </c>
      <c r="E68" s="5">
        <v>1</v>
      </c>
      <c r="F68" s="5">
        <v>1</v>
      </c>
      <c r="G68" s="3"/>
    </row>
    <row r="69" spans="1:7" x14ac:dyDescent="0.2">
      <c r="B69" s="1" t="s">
        <v>130</v>
      </c>
      <c r="C69" s="32" t="s">
        <v>89</v>
      </c>
      <c r="D69" s="19" t="s">
        <v>89</v>
      </c>
      <c r="E69" s="5">
        <v>2</v>
      </c>
      <c r="F69" s="19" t="s">
        <v>89</v>
      </c>
      <c r="G69" s="3"/>
    </row>
    <row r="70" spans="1:7" x14ac:dyDescent="0.2">
      <c r="B70" s="1" t="s">
        <v>131</v>
      </c>
      <c r="C70" s="32" t="s">
        <v>89</v>
      </c>
      <c r="D70" s="19" t="s">
        <v>89</v>
      </c>
      <c r="E70" s="19" t="s">
        <v>89</v>
      </c>
      <c r="F70" s="19" t="s">
        <v>89</v>
      </c>
      <c r="G70" s="3"/>
    </row>
    <row r="71" spans="1:7" ht="18" thickBot="1" x14ac:dyDescent="0.25">
      <c r="B71" s="6"/>
      <c r="C71" s="33"/>
      <c r="D71" s="8"/>
      <c r="E71" s="8"/>
      <c r="F71" s="8"/>
      <c r="G71" s="3"/>
    </row>
    <row r="72" spans="1:7" x14ac:dyDescent="0.2">
      <c r="B72" s="24" t="s">
        <v>132</v>
      </c>
      <c r="C72" s="3"/>
      <c r="D72" s="3"/>
      <c r="E72" s="3"/>
      <c r="F72" s="3"/>
      <c r="G72" s="3"/>
    </row>
    <row r="73" spans="1:7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17.125" style="2" customWidth="1"/>
    <col min="3" max="5" width="12.125" style="2" customWidth="1"/>
    <col min="6" max="6" width="10.875" style="2" customWidth="1"/>
    <col min="7" max="256" width="9.625" style="2"/>
    <col min="257" max="257" width="13.375" style="2" customWidth="1"/>
    <col min="258" max="258" width="17.125" style="2" customWidth="1"/>
    <col min="259" max="261" width="12.125" style="2" customWidth="1"/>
    <col min="262" max="262" width="10.875" style="2" customWidth="1"/>
    <col min="263" max="512" width="9.625" style="2"/>
    <col min="513" max="513" width="13.375" style="2" customWidth="1"/>
    <col min="514" max="514" width="17.125" style="2" customWidth="1"/>
    <col min="515" max="517" width="12.125" style="2" customWidth="1"/>
    <col min="518" max="518" width="10.875" style="2" customWidth="1"/>
    <col min="519" max="768" width="9.625" style="2"/>
    <col min="769" max="769" width="13.375" style="2" customWidth="1"/>
    <col min="770" max="770" width="17.125" style="2" customWidth="1"/>
    <col min="771" max="773" width="12.125" style="2" customWidth="1"/>
    <col min="774" max="774" width="10.875" style="2" customWidth="1"/>
    <col min="775" max="1024" width="9.625" style="2"/>
    <col min="1025" max="1025" width="13.375" style="2" customWidth="1"/>
    <col min="1026" max="1026" width="17.125" style="2" customWidth="1"/>
    <col min="1027" max="1029" width="12.125" style="2" customWidth="1"/>
    <col min="1030" max="1030" width="10.875" style="2" customWidth="1"/>
    <col min="1031" max="1280" width="9.625" style="2"/>
    <col min="1281" max="1281" width="13.375" style="2" customWidth="1"/>
    <col min="1282" max="1282" width="17.125" style="2" customWidth="1"/>
    <col min="1283" max="1285" width="12.125" style="2" customWidth="1"/>
    <col min="1286" max="1286" width="10.875" style="2" customWidth="1"/>
    <col min="1287" max="1536" width="9.625" style="2"/>
    <col min="1537" max="1537" width="13.375" style="2" customWidth="1"/>
    <col min="1538" max="1538" width="17.125" style="2" customWidth="1"/>
    <col min="1539" max="1541" width="12.125" style="2" customWidth="1"/>
    <col min="1542" max="1542" width="10.875" style="2" customWidth="1"/>
    <col min="1543" max="1792" width="9.625" style="2"/>
    <col min="1793" max="1793" width="13.375" style="2" customWidth="1"/>
    <col min="1794" max="1794" width="17.125" style="2" customWidth="1"/>
    <col min="1795" max="1797" width="12.125" style="2" customWidth="1"/>
    <col min="1798" max="1798" width="10.875" style="2" customWidth="1"/>
    <col min="1799" max="2048" width="9.625" style="2"/>
    <col min="2049" max="2049" width="13.375" style="2" customWidth="1"/>
    <col min="2050" max="2050" width="17.125" style="2" customWidth="1"/>
    <col min="2051" max="2053" width="12.125" style="2" customWidth="1"/>
    <col min="2054" max="2054" width="10.875" style="2" customWidth="1"/>
    <col min="2055" max="2304" width="9.625" style="2"/>
    <col min="2305" max="2305" width="13.375" style="2" customWidth="1"/>
    <col min="2306" max="2306" width="17.125" style="2" customWidth="1"/>
    <col min="2307" max="2309" width="12.125" style="2" customWidth="1"/>
    <col min="2310" max="2310" width="10.875" style="2" customWidth="1"/>
    <col min="2311" max="2560" width="9.625" style="2"/>
    <col min="2561" max="2561" width="13.375" style="2" customWidth="1"/>
    <col min="2562" max="2562" width="17.125" style="2" customWidth="1"/>
    <col min="2563" max="2565" width="12.125" style="2" customWidth="1"/>
    <col min="2566" max="2566" width="10.875" style="2" customWidth="1"/>
    <col min="2567" max="2816" width="9.625" style="2"/>
    <col min="2817" max="2817" width="13.375" style="2" customWidth="1"/>
    <col min="2818" max="2818" width="17.125" style="2" customWidth="1"/>
    <col min="2819" max="2821" width="12.125" style="2" customWidth="1"/>
    <col min="2822" max="2822" width="10.875" style="2" customWidth="1"/>
    <col min="2823" max="3072" width="9.625" style="2"/>
    <col min="3073" max="3073" width="13.375" style="2" customWidth="1"/>
    <col min="3074" max="3074" width="17.125" style="2" customWidth="1"/>
    <col min="3075" max="3077" width="12.125" style="2" customWidth="1"/>
    <col min="3078" max="3078" width="10.875" style="2" customWidth="1"/>
    <col min="3079" max="3328" width="9.625" style="2"/>
    <col min="3329" max="3329" width="13.375" style="2" customWidth="1"/>
    <col min="3330" max="3330" width="17.125" style="2" customWidth="1"/>
    <col min="3331" max="3333" width="12.125" style="2" customWidth="1"/>
    <col min="3334" max="3334" width="10.875" style="2" customWidth="1"/>
    <col min="3335" max="3584" width="9.625" style="2"/>
    <col min="3585" max="3585" width="13.375" style="2" customWidth="1"/>
    <col min="3586" max="3586" width="17.125" style="2" customWidth="1"/>
    <col min="3587" max="3589" width="12.125" style="2" customWidth="1"/>
    <col min="3590" max="3590" width="10.875" style="2" customWidth="1"/>
    <col min="3591" max="3840" width="9.625" style="2"/>
    <col min="3841" max="3841" width="13.375" style="2" customWidth="1"/>
    <col min="3842" max="3842" width="17.125" style="2" customWidth="1"/>
    <col min="3843" max="3845" width="12.125" style="2" customWidth="1"/>
    <col min="3846" max="3846" width="10.875" style="2" customWidth="1"/>
    <col min="3847" max="4096" width="9.625" style="2"/>
    <col min="4097" max="4097" width="13.375" style="2" customWidth="1"/>
    <col min="4098" max="4098" width="17.125" style="2" customWidth="1"/>
    <col min="4099" max="4101" width="12.125" style="2" customWidth="1"/>
    <col min="4102" max="4102" width="10.875" style="2" customWidth="1"/>
    <col min="4103" max="4352" width="9.625" style="2"/>
    <col min="4353" max="4353" width="13.375" style="2" customWidth="1"/>
    <col min="4354" max="4354" width="17.125" style="2" customWidth="1"/>
    <col min="4355" max="4357" width="12.125" style="2" customWidth="1"/>
    <col min="4358" max="4358" width="10.875" style="2" customWidth="1"/>
    <col min="4359" max="4608" width="9.625" style="2"/>
    <col min="4609" max="4609" width="13.375" style="2" customWidth="1"/>
    <col min="4610" max="4610" width="17.125" style="2" customWidth="1"/>
    <col min="4611" max="4613" width="12.125" style="2" customWidth="1"/>
    <col min="4614" max="4614" width="10.875" style="2" customWidth="1"/>
    <col min="4615" max="4864" width="9.625" style="2"/>
    <col min="4865" max="4865" width="13.375" style="2" customWidth="1"/>
    <col min="4866" max="4866" width="17.125" style="2" customWidth="1"/>
    <col min="4867" max="4869" width="12.125" style="2" customWidth="1"/>
    <col min="4870" max="4870" width="10.875" style="2" customWidth="1"/>
    <col min="4871" max="5120" width="9.625" style="2"/>
    <col min="5121" max="5121" width="13.375" style="2" customWidth="1"/>
    <col min="5122" max="5122" width="17.125" style="2" customWidth="1"/>
    <col min="5123" max="5125" width="12.125" style="2" customWidth="1"/>
    <col min="5126" max="5126" width="10.875" style="2" customWidth="1"/>
    <col min="5127" max="5376" width="9.625" style="2"/>
    <col min="5377" max="5377" width="13.375" style="2" customWidth="1"/>
    <col min="5378" max="5378" width="17.125" style="2" customWidth="1"/>
    <col min="5379" max="5381" width="12.125" style="2" customWidth="1"/>
    <col min="5382" max="5382" width="10.875" style="2" customWidth="1"/>
    <col min="5383" max="5632" width="9.625" style="2"/>
    <col min="5633" max="5633" width="13.375" style="2" customWidth="1"/>
    <col min="5634" max="5634" width="17.125" style="2" customWidth="1"/>
    <col min="5635" max="5637" width="12.125" style="2" customWidth="1"/>
    <col min="5638" max="5638" width="10.875" style="2" customWidth="1"/>
    <col min="5639" max="5888" width="9.625" style="2"/>
    <col min="5889" max="5889" width="13.375" style="2" customWidth="1"/>
    <col min="5890" max="5890" width="17.125" style="2" customWidth="1"/>
    <col min="5891" max="5893" width="12.125" style="2" customWidth="1"/>
    <col min="5894" max="5894" width="10.875" style="2" customWidth="1"/>
    <col min="5895" max="6144" width="9.625" style="2"/>
    <col min="6145" max="6145" width="13.375" style="2" customWidth="1"/>
    <col min="6146" max="6146" width="17.125" style="2" customWidth="1"/>
    <col min="6147" max="6149" width="12.125" style="2" customWidth="1"/>
    <col min="6150" max="6150" width="10.875" style="2" customWidth="1"/>
    <col min="6151" max="6400" width="9.625" style="2"/>
    <col min="6401" max="6401" width="13.375" style="2" customWidth="1"/>
    <col min="6402" max="6402" width="17.125" style="2" customWidth="1"/>
    <col min="6403" max="6405" width="12.125" style="2" customWidth="1"/>
    <col min="6406" max="6406" width="10.875" style="2" customWidth="1"/>
    <col min="6407" max="6656" width="9.625" style="2"/>
    <col min="6657" max="6657" width="13.375" style="2" customWidth="1"/>
    <col min="6658" max="6658" width="17.125" style="2" customWidth="1"/>
    <col min="6659" max="6661" width="12.125" style="2" customWidth="1"/>
    <col min="6662" max="6662" width="10.875" style="2" customWidth="1"/>
    <col min="6663" max="6912" width="9.625" style="2"/>
    <col min="6913" max="6913" width="13.375" style="2" customWidth="1"/>
    <col min="6914" max="6914" width="17.125" style="2" customWidth="1"/>
    <col min="6915" max="6917" width="12.125" style="2" customWidth="1"/>
    <col min="6918" max="6918" width="10.875" style="2" customWidth="1"/>
    <col min="6919" max="7168" width="9.625" style="2"/>
    <col min="7169" max="7169" width="13.375" style="2" customWidth="1"/>
    <col min="7170" max="7170" width="17.125" style="2" customWidth="1"/>
    <col min="7171" max="7173" width="12.125" style="2" customWidth="1"/>
    <col min="7174" max="7174" width="10.875" style="2" customWidth="1"/>
    <col min="7175" max="7424" width="9.625" style="2"/>
    <col min="7425" max="7425" width="13.375" style="2" customWidth="1"/>
    <col min="7426" max="7426" width="17.125" style="2" customWidth="1"/>
    <col min="7427" max="7429" width="12.125" style="2" customWidth="1"/>
    <col min="7430" max="7430" width="10.875" style="2" customWidth="1"/>
    <col min="7431" max="7680" width="9.625" style="2"/>
    <col min="7681" max="7681" width="13.375" style="2" customWidth="1"/>
    <col min="7682" max="7682" width="17.125" style="2" customWidth="1"/>
    <col min="7683" max="7685" width="12.125" style="2" customWidth="1"/>
    <col min="7686" max="7686" width="10.875" style="2" customWidth="1"/>
    <col min="7687" max="7936" width="9.625" style="2"/>
    <col min="7937" max="7937" width="13.375" style="2" customWidth="1"/>
    <col min="7938" max="7938" width="17.125" style="2" customWidth="1"/>
    <col min="7939" max="7941" width="12.125" style="2" customWidth="1"/>
    <col min="7942" max="7942" width="10.875" style="2" customWidth="1"/>
    <col min="7943" max="8192" width="9.625" style="2"/>
    <col min="8193" max="8193" width="13.375" style="2" customWidth="1"/>
    <col min="8194" max="8194" width="17.125" style="2" customWidth="1"/>
    <col min="8195" max="8197" width="12.125" style="2" customWidth="1"/>
    <col min="8198" max="8198" width="10.875" style="2" customWidth="1"/>
    <col min="8199" max="8448" width="9.625" style="2"/>
    <col min="8449" max="8449" width="13.375" style="2" customWidth="1"/>
    <col min="8450" max="8450" width="17.125" style="2" customWidth="1"/>
    <col min="8451" max="8453" width="12.125" style="2" customWidth="1"/>
    <col min="8454" max="8454" width="10.875" style="2" customWidth="1"/>
    <col min="8455" max="8704" width="9.625" style="2"/>
    <col min="8705" max="8705" width="13.375" style="2" customWidth="1"/>
    <col min="8706" max="8706" width="17.125" style="2" customWidth="1"/>
    <col min="8707" max="8709" width="12.125" style="2" customWidth="1"/>
    <col min="8710" max="8710" width="10.875" style="2" customWidth="1"/>
    <col min="8711" max="8960" width="9.625" style="2"/>
    <col min="8961" max="8961" width="13.375" style="2" customWidth="1"/>
    <col min="8962" max="8962" width="17.125" style="2" customWidth="1"/>
    <col min="8963" max="8965" width="12.125" style="2" customWidth="1"/>
    <col min="8966" max="8966" width="10.875" style="2" customWidth="1"/>
    <col min="8967" max="9216" width="9.625" style="2"/>
    <col min="9217" max="9217" width="13.375" style="2" customWidth="1"/>
    <col min="9218" max="9218" width="17.125" style="2" customWidth="1"/>
    <col min="9219" max="9221" width="12.125" style="2" customWidth="1"/>
    <col min="9222" max="9222" width="10.875" style="2" customWidth="1"/>
    <col min="9223" max="9472" width="9.625" style="2"/>
    <col min="9473" max="9473" width="13.375" style="2" customWidth="1"/>
    <col min="9474" max="9474" width="17.125" style="2" customWidth="1"/>
    <col min="9475" max="9477" width="12.125" style="2" customWidth="1"/>
    <col min="9478" max="9478" width="10.875" style="2" customWidth="1"/>
    <col min="9479" max="9728" width="9.625" style="2"/>
    <col min="9729" max="9729" width="13.375" style="2" customWidth="1"/>
    <col min="9730" max="9730" width="17.125" style="2" customWidth="1"/>
    <col min="9731" max="9733" width="12.125" style="2" customWidth="1"/>
    <col min="9734" max="9734" width="10.875" style="2" customWidth="1"/>
    <col min="9735" max="9984" width="9.625" style="2"/>
    <col min="9985" max="9985" width="13.375" style="2" customWidth="1"/>
    <col min="9986" max="9986" width="17.125" style="2" customWidth="1"/>
    <col min="9987" max="9989" width="12.125" style="2" customWidth="1"/>
    <col min="9990" max="9990" width="10.875" style="2" customWidth="1"/>
    <col min="9991" max="10240" width="9.625" style="2"/>
    <col min="10241" max="10241" width="13.375" style="2" customWidth="1"/>
    <col min="10242" max="10242" width="17.125" style="2" customWidth="1"/>
    <col min="10243" max="10245" width="12.125" style="2" customWidth="1"/>
    <col min="10246" max="10246" width="10.875" style="2" customWidth="1"/>
    <col min="10247" max="10496" width="9.625" style="2"/>
    <col min="10497" max="10497" width="13.375" style="2" customWidth="1"/>
    <col min="10498" max="10498" width="17.125" style="2" customWidth="1"/>
    <col min="10499" max="10501" width="12.125" style="2" customWidth="1"/>
    <col min="10502" max="10502" width="10.875" style="2" customWidth="1"/>
    <col min="10503" max="10752" width="9.625" style="2"/>
    <col min="10753" max="10753" width="13.375" style="2" customWidth="1"/>
    <col min="10754" max="10754" width="17.125" style="2" customWidth="1"/>
    <col min="10755" max="10757" width="12.125" style="2" customWidth="1"/>
    <col min="10758" max="10758" width="10.875" style="2" customWidth="1"/>
    <col min="10759" max="11008" width="9.625" style="2"/>
    <col min="11009" max="11009" width="13.375" style="2" customWidth="1"/>
    <col min="11010" max="11010" width="17.125" style="2" customWidth="1"/>
    <col min="11011" max="11013" width="12.125" style="2" customWidth="1"/>
    <col min="11014" max="11014" width="10.875" style="2" customWidth="1"/>
    <col min="11015" max="11264" width="9.625" style="2"/>
    <col min="11265" max="11265" width="13.375" style="2" customWidth="1"/>
    <col min="11266" max="11266" width="17.125" style="2" customWidth="1"/>
    <col min="11267" max="11269" width="12.125" style="2" customWidth="1"/>
    <col min="11270" max="11270" width="10.875" style="2" customWidth="1"/>
    <col min="11271" max="11520" width="9.625" style="2"/>
    <col min="11521" max="11521" width="13.375" style="2" customWidth="1"/>
    <col min="11522" max="11522" width="17.125" style="2" customWidth="1"/>
    <col min="11523" max="11525" width="12.125" style="2" customWidth="1"/>
    <col min="11526" max="11526" width="10.875" style="2" customWidth="1"/>
    <col min="11527" max="11776" width="9.625" style="2"/>
    <col min="11777" max="11777" width="13.375" style="2" customWidth="1"/>
    <col min="11778" max="11778" width="17.125" style="2" customWidth="1"/>
    <col min="11779" max="11781" width="12.125" style="2" customWidth="1"/>
    <col min="11782" max="11782" width="10.875" style="2" customWidth="1"/>
    <col min="11783" max="12032" width="9.625" style="2"/>
    <col min="12033" max="12033" width="13.375" style="2" customWidth="1"/>
    <col min="12034" max="12034" width="17.125" style="2" customWidth="1"/>
    <col min="12035" max="12037" width="12.125" style="2" customWidth="1"/>
    <col min="12038" max="12038" width="10.875" style="2" customWidth="1"/>
    <col min="12039" max="12288" width="9.625" style="2"/>
    <col min="12289" max="12289" width="13.375" style="2" customWidth="1"/>
    <col min="12290" max="12290" width="17.125" style="2" customWidth="1"/>
    <col min="12291" max="12293" width="12.125" style="2" customWidth="1"/>
    <col min="12294" max="12294" width="10.875" style="2" customWidth="1"/>
    <col min="12295" max="12544" width="9.625" style="2"/>
    <col min="12545" max="12545" width="13.375" style="2" customWidth="1"/>
    <col min="12546" max="12546" width="17.125" style="2" customWidth="1"/>
    <col min="12547" max="12549" width="12.125" style="2" customWidth="1"/>
    <col min="12550" max="12550" width="10.875" style="2" customWidth="1"/>
    <col min="12551" max="12800" width="9.625" style="2"/>
    <col min="12801" max="12801" width="13.375" style="2" customWidth="1"/>
    <col min="12802" max="12802" width="17.125" style="2" customWidth="1"/>
    <col min="12803" max="12805" width="12.125" style="2" customWidth="1"/>
    <col min="12806" max="12806" width="10.875" style="2" customWidth="1"/>
    <col min="12807" max="13056" width="9.625" style="2"/>
    <col min="13057" max="13057" width="13.375" style="2" customWidth="1"/>
    <col min="13058" max="13058" width="17.125" style="2" customWidth="1"/>
    <col min="13059" max="13061" width="12.125" style="2" customWidth="1"/>
    <col min="13062" max="13062" width="10.875" style="2" customWidth="1"/>
    <col min="13063" max="13312" width="9.625" style="2"/>
    <col min="13313" max="13313" width="13.375" style="2" customWidth="1"/>
    <col min="13314" max="13314" width="17.125" style="2" customWidth="1"/>
    <col min="13315" max="13317" width="12.125" style="2" customWidth="1"/>
    <col min="13318" max="13318" width="10.875" style="2" customWidth="1"/>
    <col min="13319" max="13568" width="9.625" style="2"/>
    <col min="13569" max="13569" width="13.375" style="2" customWidth="1"/>
    <col min="13570" max="13570" width="17.125" style="2" customWidth="1"/>
    <col min="13571" max="13573" width="12.125" style="2" customWidth="1"/>
    <col min="13574" max="13574" width="10.875" style="2" customWidth="1"/>
    <col min="13575" max="13824" width="9.625" style="2"/>
    <col min="13825" max="13825" width="13.375" style="2" customWidth="1"/>
    <col min="13826" max="13826" width="17.125" style="2" customWidth="1"/>
    <col min="13827" max="13829" width="12.125" style="2" customWidth="1"/>
    <col min="13830" max="13830" width="10.875" style="2" customWidth="1"/>
    <col min="13831" max="14080" width="9.625" style="2"/>
    <col min="14081" max="14081" width="13.375" style="2" customWidth="1"/>
    <col min="14082" max="14082" width="17.125" style="2" customWidth="1"/>
    <col min="14083" max="14085" width="12.125" style="2" customWidth="1"/>
    <col min="14086" max="14086" width="10.875" style="2" customWidth="1"/>
    <col min="14087" max="14336" width="9.625" style="2"/>
    <col min="14337" max="14337" width="13.375" style="2" customWidth="1"/>
    <col min="14338" max="14338" width="17.125" style="2" customWidth="1"/>
    <col min="14339" max="14341" width="12.125" style="2" customWidth="1"/>
    <col min="14342" max="14342" width="10.875" style="2" customWidth="1"/>
    <col min="14343" max="14592" width="9.625" style="2"/>
    <col min="14593" max="14593" width="13.375" style="2" customWidth="1"/>
    <col min="14594" max="14594" width="17.125" style="2" customWidth="1"/>
    <col min="14595" max="14597" width="12.125" style="2" customWidth="1"/>
    <col min="14598" max="14598" width="10.875" style="2" customWidth="1"/>
    <col min="14599" max="14848" width="9.625" style="2"/>
    <col min="14849" max="14849" width="13.375" style="2" customWidth="1"/>
    <col min="14850" max="14850" width="17.125" style="2" customWidth="1"/>
    <col min="14851" max="14853" width="12.125" style="2" customWidth="1"/>
    <col min="14854" max="14854" width="10.875" style="2" customWidth="1"/>
    <col min="14855" max="15104" width="9.625" style="2"/>
    <col min="15105" max="15105" width="13.375" style="2" customWidth="1"/>
    <col min="15106" max="15106" width="17.125" style="2" customWidth="1"/>
    <col min="15107" max="15109" width="12.125" style="2" customWidth="1"/>
    <col min="15110" max="15110" width="10.875" style="2" customWidth="1"/>
    <col min="15111" max="15360" width="9.625" style="2"/>
    <col min="15361" max="15361" width="13.375" style="2" customWidth="1"/>
    <col min="15362" max="15362" width="17.125" style="2" customWidth="1"/>
    <col min="15363" max="15365" width="12.125" style="2" customWidth="1"/>
    <col min="15366" max="15366" width="10.875" style="2" customWidth="1"/>
    <col min="15367" max="15616" width="9.625" style="2"/>
    <col min="15617" max="15617" width="13.375" style="2" customWidth="1"/>
    <col min="15618" max="15618" width="17.125" style="2" customWidth="1"/>
    <col min="15619" max="15621" width="12.125" style="2" customWidth="1"/>
    <col min="15622" max="15622" width="10.875" style="2" customWidth="1"/>
    <col min="15623" max="15872" width="9.625" style="2"/>
    <col min="15873" max="15873" width="13.375" style="2" customWidth="1"/>
    <col min="15874" max="15874" width="17.125" style="2" customWidth="1"/>
    <col min="15875" max="15877" width="12.125" style="2" customWidth="1"/>
    <col min="15878" max="15878" width="10.875" style="2" customWidth="1"/>
    <col min="15879" max="16128" width="9.625" style="2"/>
    <col min="16129" max="16129" width="13.375" style="2" customWidth="1"/>
    <col min="16130" max="16130" width="17.125" style="2" customWidth="1"/>
    <col min="16131" max="16133" width="12.125" style="2" customWidth="1"/>
    <col min="16134" max="16134" width="10.875" style="2" customWidth="1"/>
    <col min="16135" max="16384" width="9.625" style="2"/>
  </cols>
  <sheetData>
    <row r="1" spans="1:7" x14ac:dyDescent="0.2">
      <c r="A1" s="1"/>
    </row>
    <row r="6" spans="1:7" x14ac:dyDescent="0.2">
      <c r="C6" s="34" t="s">
        <v>133</v>
      </c>
      <c r="D6" s="3"/>
      <c r="E6" s="3"/>
    </row>
    <row r="7" spans="1:7" ht="18" thickBot="1" x14ac:dyDescent="0.25">
      <c r="B7" s="6"/>
      <c r="C7" s="7" t="s">
        <v>134</v>
      </c>
      <c r="D7" s="6"/>
      <c r="E7" s="6"/>
      <c r="F7" s="6"/>
    </row>
    <row r="8" spans="1:7" x14ac:dyDescent="0.2">
      <c r="B8" s="3"/>
      <c r="C8" s="10"/>
      <c r="D8" s="10"/>
      <c r="E8" s="10"/>
      <c r="F8" s="10"/>
    </row>
    <row r="9" spans="1:7" x14ac:dyDescent="0.2">
      <c r="B9" s="3"/>
      <c r="C9" s="13" t="s">
        <v>135</v>
      </c>
      <c r="D9" s="13" t="s">
        <v>136</v>
      </c>
      <c r="E9" s="13" t="s">
        <v>137</v>
      </c>
      <c r="F9" s="16" t="s">
        <v>138</v>
      </c>
      <c r="G9" s="3"/>
    </row>
    <row r="10" spans="1:7" x14ac:dyDescent="0.2">
      <c r="B10" s="12"/>
      <c r="C10" s="14"/>
      <c r="D10" s="14"/>
      <c r="E10" s="14"/>
      <c r="F10" s="14"/>
      <c r="G10" s="3"/>
    </row>
    <row r="11" spans="1:7" x14ac:dyDescent="0.2">
      <c r="B11" s="3"/>
      <c r="C11" s="10"/>
      <c r="D11" s="3"/>
      <c r="F11" s="3"/>
    </row>
    <row r="12" spans="1:7" x14ac:dyDescent="0.2">
      <c r="B12" s="24" t="s">
        <v>79</v>
      </c>
      <c r="C12" s="32" t="s">
        <v>139</v>
      </c>
      <c r="D12" s="35" t="s">
        <v>139</v>
      </c>
      <c r="E12" s="19" t="s">
        <v>139</v>
      </c>
      <c r="F12" s="35" t="s">
        <v>139</v>
      </c>
    </row>
    <row r="13" spans="1:7" x14ac:dyDescent="0.2">
      <c r="B13" s="34" t="s">
        <v>140</v>
      </c>
      <c r="C13" s="20">
        <f>SUM(C15:C71)</f>
        <v>1582</v>
      </c>
      <c r="D13" s="36">
        <f>SUM(D15:D71)</f>
        <v>2185</v>
      </c>
      <c r="E13" s="21">
        <f>SUM(E15:E71)</f>
        <v>1281</v>
      </c>
      <c r="F13" s="36">
        <f>SUM(F15:F71)</f>
        <v>177</v>
      </c>
    </row>
    <row r="14" spans="1:7" x14ac:dyDescent="0.2">
      <c r="B14" s="3"/>
      <c r="C14" s="28"/>
      <c r="D14" s="25"/>
      <c r="E14" s="5"/>
      <c r="F14" s="25"/>
    </row>
    <row r="15" spans="1:7" x14ac:dyDescent="0.2">
      <c r="B15" s="24" t="s">
        <v>81</v>
      </c>
      <c r="C15" s="28">
        <v>509</v>
      </c>
      <c r="D15" s="25">
        <v>786</v>
      </c>
      <c r="E15" s="5">
        <v>437</v>
      </c>
      <c r="F15" s="25">
        <v>90</v>
      </c>
    </row>
    <row r="16" spans="1:7" x14ac:dyDescent="0.2">
      <c r="B16" s="24" t="s">
        <v>82</v>
      </c>
      <c r="C16" s="28">
        <v>78</v>
      </c>
      <c r="D16" s="25">
        <v>119</v>
      </c>
      <c r="E16" s="5">
        <v>70</v>
      </c>
      <c r="F16" s="25">
        <v>12</v>
      </c>
    </row>
    <row r="17" spans="2:6" x14ac:dyDescent="0.2">
      <c r="B17" s="24" t="s">
        <v>83</v>
      </c>
      <c r="C17" s="28">
        <v>57</v>
      </c>
      <c r="D17" s="25">
        <v>77</v>
      </c>
      <c r="E17" s="5">
        <v>53</v>
      </c>
      <c r="F17" s="25">
        <v>2</v>
      </c>
    </row>
    <row r="18" spans="2:6" x14ac:dyDescent="0.2">
      <c r="B18" s="24" t="s">
        <v>84</v>
      </c>
      <c r="C18" s="28">
        <v>48</v>
      </c>
      <c r="D18" s="25">
        <v>64</v>
      </c>
      <c r="E18" s="5">
        <v>37</v>
      </c>
      <c r="F18" s="25">
        <v>4</v>
      </c>
    </row>
    <row r="19" spans="2:6" x14ac:dyDescent="0.2">
      <c r="B19" s="24" t="s">
        <v>85</v>
      </c>
      <c r="C19" s="28">
        <v>63</v>
      </c>
      <c r="D19" s="25">
        <v>73</v>
      </c>
      <c r="E19" s="5">
        <v>56</v>
      </c>
      <c r="F19" s="19" t="s">
        <v>141</v>
      </c>
    </row>
    <row r="20" spans="2:6" x14ac:dyDescent="0.2">
      <c r="B20" s="24" t="s">
        <v>86</v>
      </c>
      <c r="C20" s="28">
        <v>134</v>
      </c>
      <c r="D20" s="25">
        <v>183</v>
      </c>
      <c r="E20" s="5">
        <v>169</v>
      </c>
      <c r="F20" s="25">
        <v>5</v>
      </c>
    </row>
    <row r="21" spans="2:6" x14ac:dyDescent="0.2">
      <c r="B21" s="24" t="s">
        <v>87</v>
      </c>
      <c r="C21" s="28">
        <v>77</v>
      </c>
      <c r="D21" s="25">
        <v>104</v>
      </c>
      <c r="E21" s="5">
        <v>43</v>
      </c>
      <c r="F21" s="25">
        <v>11</v>
      </c>
    </row>
    <row r="22" spans="2:6" x14ac:dyDescent="0.2">
      <c r="B22" s="3"/>
      <c r="C22" s="28"/>
      <c r="D22" s="25"/>
      <c r="E22" s="5"/>
      <c r="F22" s="25"/>
    </row>
    <row r="23" spans="2:6" x14ac:dyDescent="0.2">
      <c r="B23" s="24" t="s">
        <v>88</v>
      </c>
      <c r="C23" s="28">
        <v>24</v>
      </c>
      <c r="D23" s="25">
        <v>29</v>
      </c>
      <c r="E23" s="5">
        <v>7</v>
      </c>
      <c r="F23" s="25">
        <v>1</v>
      </c>
    </row>
    <row r="24" spans="2:6" x14ac:dyDescent="0.2">
      <c r="B24" s="24" t="s">
        <v>90</v>
      </c>
      <c r="C24" s="28">
        <v>19</v>
      </c>
      <c r="D24" s="25">
        <v>18</v>
      </c>
      <c r="E24" s="5">
        <v>7</v>
      </c>
      <c r="F24" s="19" t="s">
        <v>141</v>
      </c>
    </row>
    <row r="25" spans="2:6" x14ac:dyDescent="0.2">
      <c r="B25" s="24" t="s">
        <v>91</v>
      </c>
      <c r="C25" s="28">
        <v>6</v>
      </c>
      <c r="D25" s="25">
        <v>8</v>
      </c>
      <c r="E25" s="5">
        <v>2</v>
      </c>
      <c r="F25" s="25">
        <v>1</v>
      </c>
    </row>
    <row r="26" spans="2:6" x14ac:dyDescent="0.2">
      <c r="B26" s="24" t="s">
        <v>92</v>
      </c>
      <c r="C26" s="28">
        <v>15</v>
      </c>
      <c r="D26" s="25">
        <v>23</v>
      </c>
      <c r="E26" s="5">
        <v>18</v>
      </c>
      <c r="F26" s="25">
        <v>1</v>
      </c>
    </row>
    <row r="27" spans="2:6" x14ac:dyDescent="0.2">
      <c r="B27" s="24" t="s">
        <v>93</v>
      </c>
      <c r="C27" s="28">
        <v>19</v>
      </c>
      <c r="D27" s="25">
        <v>29</v>
      </c>
      <c r="E27" s="5">
        <v>18</v>
      </c>
      <c r="F27" s="25">
        <v>1</v>
      </c>
    </row>
    <row r="28" spans="2:6" x14ac:dyDescent="0.2">
      <c r="B28" s="24" t="s">
        <v>94</v>
      </c>
      <c r="C28" s="28">
        <v>13</v>
      </c>
      <c r="D28" s="25">
        <v>14</v>
      </c>
      <c r="E28" s="5">
        <v>8</v>
      </c>
      <c r="F28" s="25">
        <v>1</v>
      </c>
    </row>
    <row r="29" spans="2:6" x14ac:dyDescent="0.2">
      <c r="B29" s="24" t="s">
        <v>95</v>
      </c>
      <c r="C29" s="28">
        <v>8</v>
      </c>
      <c r="D29" s="25">
        <v>17</v>
      </c>
      <c r="E29" s="5">
        <v>6</v>
      </c>
      <c r="F29" s="25">
        <v>2</v>
      </c>
    </row>
    <row r="30" spans="2:6" x14ac:dyDescent="0.2">
      <c r="B30" s="24" t="s">
        <v>96</v>
      </c>
      <c r="C30" s="28">
        <v>18</v>
      </c>
      <c r="D30" s="25">
        <v>45</v>
      </c>
      <c r="E30" s="5">
        <v>9</v>
      </c>
      <c r="F30" s="19" t="s">
        <v>141</v>
      </c>
    </row>
    <row r="31" spans="2:6" x14ac:dyDescent="0.2">
      <c r="B31" s="24" t="s">
        <v>97</v>
      </c>
      <c r="C31" s="28">
        <v>41</v>
      </c>
      <c r="D31" s="25">
        <v>77</v>
      </c>
      <c r="E31" s="5">
        <v>35</v>
      </c>
      <c r="F31" s="25">
        <v>3</v>
      </c>
    </row>
    <row r="32" spans="2:6" x14ac:dyDescent="0.2">
      <c r="B32" s="3"/>
      <c r="C32" s="10"/>
      <c r="D32" s="3"/>
      <c r="F32" s="3"/>
    </row>
    <row r="33" spans="2:6" x14ac:dyDescent="0.2">
      <c r="B33" s="24" t="s">
        <v>98</v>
      </c>
      <c r="C33" s="28">
        <v>35</v>
      </c>
      <c r="D33" s="25">
        <v>48</v>
      </c>
      <c r="E33" s="5">
        <v>32</v>
      </c>
      <c r="F33" s="25">
        <v>1</v>
      </c>
    </row>
    <row r="34" spans="2:6" x14ac:dyDescent="0.2">
      <c r="B34" s="24" t="s">
        <v>99</v>
      </c>
      <c r="C34" s="28">
        <v>26</v>
      </c>
      <c r="D34" s="25">
        <v>37</v>
      </c>
      <c r="E34" s="5">
        <v>18</v>
      </c>
      <c r="F34" s="25">
        <v>1</v>
      </c>
    </row>
    <row r="35" spans="2:6" x14ac:dyDescent="0.2">
      <c r="B35" s="24" t="s">
        <v>100</v>
      </c>
      <c r="C35" s="28">
        <v>8</v>
      </c>
      <c r="D35" s="25">
        <v>9</v>
      </c>
      <c r="E35" s="5">
        <v>6</v>
      </c>
      <c r="F35" s="25">
        <v>1</v>
      </c>
    </row>
    <row r="36" spans="2:6" x14ac:dyDescent="0.2">
      <c r="B36" s="24" t="s">
        <v>101</v>
      </c>
      <c r="C36" s="28">
        <v>10</v>
      </c>
      <c r="D36" s="25">
        <v>12</v>
      </c>
      <c r="E36" s="5">
        <v>6</v>
      </c>
      <c r="F36" s="19" t="s">
        <v>141</v>
      </c>
    </row>
    <row r="37" spans="2:6" x14ac:dyDescent="0.2">
      <c r="B37" s="24" t="s">
        <v>102</v>
      </c>
      <c r="C37" s="28">
        <v>2</v>
      </c>
      <c r="D37" s="25">
        <v>2</v>
      </c>
      <c r="E37" s="19" t="s">
        <v>141</v>
      </c>
      <c r="F37" s="19" t="s">
        <v>141</v>
      </c>
    </row>
    <row r="38" spans="2:6" x14ac:dyDescent="0.2">
      <c r="B38" s="3"/>
      <c r="C38" s="10"/>
      <c r="D38" s="3"/>
      <c r="F38" s="3"/>
    </row>
    <row r="39" spans="2:6" x14ac:dyDescent="0.2">
      <c r="B39" s="24" t="s">
        <v>103</v>
      </c>
      <c r="C39" s="28">
        <v>30</v>
      </c>
      <c r="D39" s="25">
        <v>31</v>
      </c>
      <c r="E39" s="5">
        <v>19</v>
      </c>
      <c r="F39" s="25">
        <v>5</v>
      </c>
    </row>
    <row r="40" spans="2:6" x14ac:dyDescent="0.2">
      <c r="B40" s="24" t="s">
        <v>104</v>
      </c>
      <c r="C40" s="28">
        <v>7</v>
      </c>
      <c r="D40" s="25">
        <v>13</v>
      </c>
      <c r="E40" s="5">
        <v>5</v>
      </c>
      <c r="F40" s="25">
        <v>1</v>
      </c>
    </row>
    <row r="41" spans="2:6" x14ac:dyDescent="0.2">
      <c r="B41" s="24" t="s">
        <v>105</v>
      </c>
      <c r="C41" s="28">
        <v>20</v>
      </c>
      <c r="D41" s="25">
        <v>32</v>
      </c>
      <c r="E41" s="5">
        <v>16</v>
      </c>
      <c r="F41" s="25">
        <v>1</v>
      </c>
    </row>
    <row r="42" spans="2:6" x14ac:dyDescent="0.2">
      <c r="B42" s="24" t="s">
        <v>106</v>
      </c>
      <c r="C42" s="28">
        <v>10</v>
      </c>
      <c r="D42" s="25">
        <v>10</v>
      </c>
      <c r="E42" s="5">
        <v>5</v>
      </c>
      <c r="F42" s="19" t="s">
        <v>141</v>
      </c>
    </row>
    <row r="43" spans="2:6" x14ac:dyDescent="0.2">
      <c r="B43" s="24" t="s">
        <v>107</v>
      </c>
      <c r="C43" s="28">
        <v>12</v>
      </c>
      <c r="D43" s="25">
        <v>8</v>
      </c>
      <c r="E43" s="5">
        <v>2</v>
      </c>
      <c r="F43" s="25">
        <v>1</v>
      </c>
    </row>
    <row r="44" spans="2:6" x14ac:dyDescent="0.2">
      <c r="B44" s="3"/>
      <c r="C44" s="10"/>
      <c r="D44" s="3"/>
      <c r="F44" s="3"/>
    </row>
    <row r="45" spans="2:6" x14ac:dyDescent="0.2">
      <c r="B45" s="24" t="s">
        <v>108</v>
      </c>
      <c r="C45" s="28">
        <v>16</v>
      </c>
      <c r="D45" s="25">
        <v>13</v>
      </c>
      <c r="E45" s="5">
        <v>11</v>
      </c>
      <c r="F45" s="19" t="s">
        <v>141</v>
      </c>
    </row>
    <row r="46" spans="2:6" x14ac:dyDescent="0.2">
      <c r="B46" s="24" t="s">
        <v>109</v>
      </c>
      <c r="C46" s="28">
        <v>8</v>
      </c>
      <c r="D46" s="25">
        <v>10</v>
      </c>
      <c r="E46" s="5">
        <v>4</v>
      </c>
      <c r="F46" s="19" t="s">
        <v>141</v>
      </c>
    </row>
    <row r="47" spans="2:6" x14ac:dyDescent="0.2">
      <c r="B47" s="24" t="s">
        <v>110</v>
      </c>
      <c r="C47" s="28">
        <v>12</v>
      </c>
      <c r="D47" s="25">
        <v>11</v>
      </c>
      <c r="E47" s="5">
        <v>9</v>
      </c>
      <c r="F47" s="25">
        <v>1</v>
      </c>
    </row>
    <row r="48" spans="2:6" x14ac:dyDescent="0.2">
      <c r="B48" s="24" t="s">
        <v>111</v>
      </c>
      <c r="C48" s="28">
        <v>6</v>
      </c>
      <c r="D48" s="25">
        <v>6</v>
      </c>
      <c r="E48" s="5">
        <v>5</v>
      </c>
      <c r="F48" s="19" t="s">
        <v>141</v>
      </c>
    </row>
    <row r="49" spans="2:6" x14ac:dyDescent="0.2">
      <c r="B49" s="24" t="s">
        <v>112</v>
      </c>
      <c r="C49" s="28">
        <v>3</v>
      </c>
      <c r="D49" s="25">
        <v>5</v>
      </c>
      <c r="E49" s="5">
        <v>1</v>
      </c>
      <c r="F49" s="25">
        <v>1</v>
      </c>
    </row>
    <row r="50" spans="2:6" x14ac:dyDescent="0.2">
      <c r="B50" s="24" t="s">
        <v>113</v>
      </c>
      <c r="C50" s="28">
        <v>5</v>
      </c>
      <c r="D50" s="25">
        <v>6</v>
      </c>
      <c r="E50" s="19" t="s">
        <v>141</v>
      </c>
      <c r="F50" s="19" t="s">
        <v>141</v>
      </c>
    </row>
    <row r="51" spans="2:6" x14ac:dyDescent="0.2">
      <c r="B51" s="24" t="s">
        <v>114</v>
      </c>
      <c r="C51" s="28">
        <v>11</v>
      </c>
      <c r="D51" s="25">
        <v>7</v>
      </c>
      <c r="E51" s="5">
        <v>11</v>
      </c>
      <c r="F51" s="25">
        <v>1</v>
      </c>
    </row>
    <row r="52" spans="2:6" x14ac:dyDescent="0.2">
      <c r="B52" s="24" t="s">
        <v>115</v>
      </c>
      <c r="C52" s="28">
        <v>6</v>
      </c>
      <c r="D52" s="25">
        <v>7</v>
      </c>
      <c r="E52" s="5">
        <v>5</v>
      </c>
      <c r="F52" s="19" t="s">
        <v>141</v>
      </c>
    </row>
    <row r="53" spans="2:6" x14ac:dyDescent="0.2">
      <c r="B53" s="24" t="s">
        <v>116</v>
      </c>
      <c r="C53" s="28">
        <v>14</v>
      </c>
      <c r="D53" s="25">
        <v>15</v>
      </c>
      <c r="E53" s="5">
        <v>15</v>
      </c>
      <c r="F53" s="19" t="s">
        <v>141</v>
      </c>
    </row>
    <row r="54" spans="2:6" x14ac:dyDescent="0.2">
      <c r="B54" s="24" t="s">
        <v>117</v>
      </c>
      <c r="C54" s="28">
        <v>13</v>
      </c>
      <c r="D54" s="25">
        <v>12</v>
      </c>
      <c r="E54" s="5">
        <v>11</v>
      </c>
      <c r="F54" s="19" t="s">
        <v>141</v>
      </c>
    </row>
    <row r="55" spans="2:6" x14ac:dyDescent="0.2">
      <c r="B55" s="3"/>
      <c r="C55" s="10"/>
      <c r="D55" s="3"/>
      <c r="F55" s="3"/>
    </row>
    <row r="56" spans="2:6" x14ac:dyDescent="0.2">
      <c r="B56" s="24" t="s">
        <v>118</v>
      </c>
      <c r="C56" s="28">
        <v>31</v>
      </c>
      <c r="D56" s="25">
        <v>39</v>
      </c>
      <c r="E56" s="5">
        <v>23</v>
      </c>
      <c r="F56" s="25">
        <v>4</v>
      </c>
    </row>
    <row r="57" spans="2:6" x14ac:dyDescent="0.2">
      <c r="B57" s="24" t="s">
        <v>119</v>
      </c>
      <c r="C57" s="28">
        <v>8</v>
      </c>
      <c r="D57" s="25">
        <v>5</v>
      </c>
      <c r="E57" s="5">
        <v>6</v>
      </c>
      <c r="F57" s="19" t="s">
        <v>141</v>
      </c>
    </row>
    <row r="58" spans="2:6" x14ac:dyDescent="0.2">
      <c r="B58" s="24" t="s">
        <v>120</v>
      </c>
      <c r="C58" s="28">
        <v>3</v>
      </c>
      <c r="D58" s="25">
        <v>5</v>
      </c>
      <c r="E58" s="5">
        <v>2</v>
      </c>
      <c r="F58" s="19" t="s">
        <v>141</v>
      </c>
    </row>
    <row r="59" spans="2:6" x14ac:dyDescent="0.2">
      <c r="B59" s="24" t="s">
        <v>121</v>
      </c>
      <c r="C59" s="28">
        <v>18</v>
      </c>
      <c r="D59" s="25">
        <v>20</v>
      </c>
      <c r="E59" s="5">
        <v>25</v>
      </c>
      <c r="F59" s="19" t="s">
        <v>141</v>
      </c>
    </row>
    <row r="60" spans="2:6" x14ac:dyDescent="0.2">
      <c r="B60" s="24" t="s">
        <v>122</v>
      </c>
      <c r="C60" s="28">
        <v>11</v>
      </c>
      <c r="D60" s="25">
        <v>9</v>
      </c>
      <c r="E60" s="5">
        <v>9</v>
      </c>
      <c r="F60" s="19" t="s">
        <v>141</v>
      </c>
    </row>
    <row r="61" spans="2:6" x14ac:dyDescent="0.2">
      <c r="B61" s="24" t="s">
        <v>123</v>
      </c>
      <c r="C61" s="28">
        <v>12</v>
      </c>
      <c r="D61" s="25">
        <v>14</v>
      </c>
      <c r="E61" s="5">
        <v>8</v>
      </c>
      <c r="F61" s="19" t="s">
        <v>141</v>
      </c>
    </row>
    <row r="62" spans="2:6" x14ac:dyDescent="0.2">
      <c r="B62" s="24" t="s">
        <v>124</v>
      </c>
      <c r="C62" s="28">
        <v>32</v>
      </c>
      <c r="D62" s="25">
        <v>36</v>
      </c>
      <c r="E62" s="5">
        <v>13</v>
      </c>
      <c r="F62" s="19" t="s">
        <v>141</v>
      </c>
    </row>
    <row r="63" spans="2:6" x14ac:dyDescent="0.2">
      <c r="B63" s="3"/>
      <c r="C63" s="10"/>
      <c r="D63" s="3"/>
      <c r="F63" s="3"/>
    </row>
    <row r="64" spans="2:6" x14ac:dyDescent="0.2">
      <c r="B64" s="24" t="s">
        <v>125</v>
      </c>
      <c r="C64" s="28">
        <v>39</v>
      </c>
      <c r="D64" s="25">
        <v>54</v>
      </c>
      <c r="E64" s="5">
        <v>23</v>
      </c>
      <c r="F64" s="25">
        <v>16</v>
      </c>
    </row>
    <row r="65" spans="1:6" x14ac:dyDescent="0.2">
      <c r="B65" s="24" t="s">
        <v>126</v>
      </c>
      <c r="C65" s="28">
        <v>6</v>
      </c>
      <c r="D65" s="25">
        <v>7</v>
      </c>
      <c r="E65" s="5">
        <v>3</v>
      </c>
      <c r="F65" s="19" t="s">
        <v>141</v>
      </c>
    </row>
    <row r="66" spans="1:6" x14ac:dyDescent="0.2">
      <c r="B66" s="24" t="s">
        <v>127</v>
      </c>
      <c r="C66" s="28">
        <v>14</v>
      </c>
      <c r="D66" s="25">
        <v>13</v>
      </c>
      <c r="E66" s="5">
        <v>7</v>
      </c>
      <c r="F66" s="25">
        <v>1</v>
      </c>
    </row>
    <row r="67" spans="1:6" x14ac:dyDescent="0.2">
      <c r="B67" s="24" t="s">
        <v>128</v>
      </c>
      <c r="C67" s="28">
        <v>5</v>
      </c>
      <c r="D67" s="25">
        <v>6</v>
      </c>
      <c r="E67" s="5">
        <v>3</v>
      </c>
      <c r="F67" s="19" t="s">
        <v>141</v>
      </c>
    </row>
    <row r="68" spans="1:6" x14ac:dyDescent="0.2">
      <c r="B68" s="24" t="s">
        <v>129</v>
      </c>
      <c r="C68" s="28">
        <v>7</v>
      </c>
      <c r="D68" s="25">
        <v>5</v>
      </c>
      <c r="E68" s="19" t="s">
        <v>141</v>
      </c>
      <c r="F68" s="25">
        <v>1</v>
      </c>
    </row>
    <row r="69" spans="1:6" x14ac:dyDescent="0.2">
      <c r="B69" s="24" t="s">
        <v>130</v>
      </c>
      <c r="C69" s="28">
        <v>11</v>
      </c>
      <c r="D69" s="25">
        <v>11</v>
      </c>
      <c r="E69" s="5">
        <v>3</v>
      </c>
      <c r="F69" s="25">
        <v>6</v>
      </c>
    </row>
    <row r="70" spans="1:6" x14ac:dyDescent="0.2">
      <c r="B70" s="24" t="s">
        <v>131</v>
      </c>
      <c r="C70" s="28">
        <v>2</v>
      </c>
      <c r="D70" s="25">
        <v>1</v>
      </c>
      <c r="E70" s="19" t="s">
        <v>141</v>
      </c>
      <c r="F70" s="25">
        <v>1</v>
      </c>
    </row>
    <row r="71" spans="1:6" ht="18" thickBot="1" x14ac:dyDescent="0.25">
      <c r="B71" s="6"/>
      <c r="C71" s="23"/>
      <c r="D71" s="6"/>
      <c r="E71" s="6"/>
      <c r="F71" s="6"/>
    </row>
    <row r="72" spans="1:6" x14ac:dyDescent="0.2">
      <c r="B72" s="1" t="s">
        <v>142</v>
      </c>
      <c r="D72" s="3"/>
      <c r="F72" s="3"/>
    </row>
    <row r="73" spans="1:6" x14ac:dyDescent="0.2">
      <c r="A73" s="1"/>
      <c r="D73" s="3"/>
      <c r="F73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5" width="10.875" style="2" customWidth="1"/>
    <col min="6" max="8" width="12.125" style="2"/>
    <col min="9" max="9" width="13.375" style="2" customWidth="1"/>
    <col min="10" max="10" width="12.125" style="2"/>
    <col min="11" max="11" width="14.625" style="2" customWidth="1"/>
    <col min="12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1" width="10.875" style="2" customWidth="1"/>
    <col min="262" max="264" width="12.125" style="2"/>
    <col min="265" max="265" width="13.375" style="2" customWidth="1"/>
    <col min="266" max="266" width="12.125" style="2"/>
    <col min="267" max="267" width="14.625" style="2" customWidth="1"/>
    <col min="268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7" width="10.875" style="2" customWidth="1"/>
    <col min="518" max="520" width="12.125" style="2"/>
    <col min="521" max="521" width="13.375" style="2" customWidth="1"/>
    <col min="522" max="522" width="12.125" style="2"/>
    <col min="523" max="523" width="14.625" style="2" customWidth="1"/>
    <col min="524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3" width="10.875" style="2" customWidth="1"/>
    <col min="774" max="776" width="12.125" style="2"/>
    <col min="777" max="777" width="13.375" style="2" customWidth="1"/>
    <col min="778" max="778" width="12.125" style="2"/>
    <col min="779" max="779" width="14.625" style="2" customWidth="1"/>
    <col min="780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9" width="10.875" style="2" customWidth="1"/>
    <col min="1030" max="1032" width="12.125" style="2"/>
    <col min="1033" max="1033" width="13.375" style="2" customWidth="1"/>
    <col min="1034" max="1034" width="12.125" style="2"/>
    <col min="1035" max="1035" width="14.625" style="2" customWidth="1"/>
    <col min="1036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5" width="10.875" style="2" customWidth="1"/>
    <col min="1286" max="1288" width="12.125" style="2"/>
    <col min="1289" max="1289" width="13.375" style="2" customWidth="1"/>
    <col min="1290" max="1290" width="12.125" style="2"/>
    <col min="1291" max="1291" width="14.625" style="2" customWidth="1"/>
    <col min="1292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1" width="10.875" style="2" customWidth="1"/>
    <col min="1542" max="1544" width="12.125" style="2"/>
    <col min="1545" max="1545" width="13.375" style="2" customWidth="1"/>
    <col min="1546" max="1546" width="12.125" style="2"/>
    <col min="1547" max="1547" width="14.625" style="2" customWidth="1"/>
    <col min="1548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7" width="10.875" style="2" customWidth="1"/>
    <col min="1798" max="1800" width="12.125" style="2"/>
    <col min="1801" max="1801" width="13.375" style="2" customWidth="1"/>
    <col min="1802" max="1802" width="12.125" style="2"/>
    <col min="1803" max="1803" width="14.625" style="2" customWidth="1"/>
    <col min="1804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3" width="10.875" style="2" customWidth="1"/>
    <col min="2054" max="2056" width="12.125" style="2"/>
    <col min="2057" max="2057" width="13.375" style="2" customWidth="1"/>
    <col min="2058" max="2058" width="12.125" style="2"/>
    <col min="2059" max="2059" width="14.625" style="2" customWidth="1"/>
    <col min="2060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9" width="10.875" style="2" customWidth="1"/>
    <col min="2310" max="2312" width="12.125" style="2"/>
    <col min="2313" max="2313" width="13.375" style="2" customWidth="1"/>
    <col min="2314" max="2314" width="12.125" style="2"/>
    <col min="2315" max="2315" width="14.625" style="2" customWidth="1"/>
    <col min="2316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5" width="10.875" style="2" customWidth="1"/>
    <col min="2566" max="2568" width="12.125" style="2"/>
    <col min="2569" max="2569" width="13.375" style="2" customWidth="1"/>
    <col min="2570" max="2570" width="12.125" style="2"/>
    <col min="2571" max="2571" width="14.625" style="2" customWidth="1"/>
    <col min="2572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1" width="10.875" style="2" customWidth="1"/>
    <col min="2822" max="2824" width="12.125" style="2"/>
    <col min="2825" max="2825" width="13.375" style="2" customWidth="1"/>
    <col min="2826" max="2826" width="12.125" style="2"/>
    <col min="2827" max="2827" width="14.625" style="2" customWidth="1"/>
    <col min="2828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7" width="10.875" style="2" customWidth="1"/>
    <col min="3078" max="3080" width="12.125" style="2"/>
    <col min="3081" max="3081" width="13.375" style="2" customWidth="1"/>
    <col min="3082" max="3082" width="12.125" style="2"/>
    <col min="3083" max="3083" width="14.625" style="2" customWidth="1"/>
    <col min="3084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3" width="10.875" style="2" customWidth="1"/>
    <col min="3334" max="3336" width="12.125" style="2"/>
    <col min="3337" max="3337" width="13.375" style="2" customWidth="1"/>
    <col min="3338" max="3338" width="12.125" style="2"/>
    <col min="3339" max="3339" width="14.625" style="2" customWidth="1"/>
    <col min="3340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9" width="10.875" style="2" customWidth="1"/>
    <col min="3590" max="3592" width="12.125" style="2"/>
    <col min="3593" max="3593" width="13.375" style="2" customWidth="1"/>
    <col min="3594" max="3594" width="12.125" style="2"/>
    <col min="3595" max="3595" width="14.625" style="2" customWidth="1"/>
    <col min="3596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5" width="10.875" style="2" customWidth="1"/>
    <col min="3846" max="3848" width="12.125" style="2"/>
    <col min="3849" max="3849" width="13.375" style="2" customWidth="1"/>
    <col min="3850" max="3850" width="12.125" style="2"/>
    <col min="3851" max="3851" width="14.625" style="2" customWidth="1"/>
    <col min="3852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1" width="10.875" style="2" customWidth="1"/>
    <col min="4102" max="4104" width="12.125" style="2"/>
    <col min="4105" max="4105" width="13.375" style="2" customWidth="1"/>
    <col min="4106" max="4106" width="12.125" style="2"/>
    <col min="4107" max="4107" width="14.625" style="2" customWidth="1"/>
    <col min="4108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7" width="10.875" style="2" customWidth="1"/>
    <col min="4358" max="4360" width="12.125" style="2"/>
    <col min="4361" max="4361" width="13.375" style="2" customWidth="1"/>
    <col min="4362" max="4362" width="12.125" style="2"/>
    <col min="4363" max="4363" width="14.625" style="2" customWidth="1"/>
    <col min="4364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3" width="10.875" style="2" customWidth="1"/>
    <col min="4614" max="4616" width="12.125" style="2"/>
    <col min="4617" max="4617" width="13.375" style="2" customWidth="1"/>
    <col min="4618" max="4618" width="12.125" style="2"/>
    <col min="4619" max="4619" width="14.625" style="2" customWidth="1"/>
    <col min="4620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9" width="10.875" style="2" customWidth="1"/>
    <col min="4870" max="4872" width="12.125" style="2"/>
    <col min="4873" max="4873" width="13.375" style="2" customWidth="1"/>
    <col min="4874" max="4874" width="12.125" style="2"/>
    <col min="4875" max="4875" width="14.625" style="2" customWidth="1"/>
    <col min="4876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5" width="10.875" style="2" customWidth="1"/>
    <col min="5126" max="5128" width="12.125" style="2"/>
    <col min="5129" max="5129" width="13.375" style="2" customWidth="1"/>
    <col min="5130" max="5130" width="12.125" style="2"/>
    <col min="5131" max="5131" width="14.625" style="2" customWidth="1"/>
    <col min="5132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1" width="10.875" style="2" customWidth="1"/>
    <col min="5382" max="5384" width="12.125" style="2"/>
    <col min="5385" max="5385" width="13.375" style="2" customWidth="1"/>
    <col min="5386" max="5386" width="12.125" style="2"/>
    <col min="5387" max="5387" width="14.625" style="2" customWidth="1"/>
    <col min="5388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7" width="10.875" style="2" customWidth="1"/>
    <col min="5638" max="5640" width="12.125" style="2"/>
    <col min="5641" max="5641" width="13.375" style="2" customWidth="1"/>
    <col min="5642" max="5642" width="12.125" style="2"/>
    <col min="5643" max="5643" width="14.625" style="2" customWidth="1"/>
    <col min="5644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3" width="10.875" style="2" customWidth="1"/>
    <col min="5894" max="5896" width="12.125" style="2"/>
    <col min="5897" max="5897" width="13.375" style="2" customWidth="1"/>
    <col min="5898" max="5898" width="12.125" style="2"/>
    <col min="5899" max="5899" width="14.625" style="2" customWidth="1"/>
    <col min="5900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9" width="10.875" style="2" customWidth="1"/>
    <col min="6150" max="6152" width="12.125" style="2"/>
    <col min="6153" max="6153" width="13.375" style="2" customWidth="1"/>
    <col min="6154" max="6154" width="12.125" style="2"/>
    <col min="6155" max="6155" width="14.625" style="2" customWidth="1"/>
    <col min="6156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5" width="10.875" style="2" customWidth="1"/>
    <col min="6406" max="6408" width="12.125" style="2"/>
    <col min="6409" max="6409" width="13.375" style="2" customWidth="1"/>
    <col min="6410" max="6410" width="12.125" style="2"/>
    <col min="6411" max="6411" width="14.625" style="2" customWidth="1"/>
    <col min="6412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1" width="10.875" style="2" customWidth="1"/>
    <col min="6662" max="6664" width="12.125" style="2"/>
    <col min="6665" max="6665" width="13.375" style="2" customWidth="1"/>
    <col min="6666" max="6666" width="12.125" style="2"/>
    <col min="6667" max="6667" width="14.625" style="2" customWidth="1"/>
    <col min="6668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7" width="10.875" style="2" customWidth="1"/>
    <col min="6918" max="6920" width="12.125" style="2"/>
    <col min="6921" max="6921" width="13.375" style="2" customWidth="1"/>
    <col min="6922" max="6922" width="12.125" style="2"/>
    <col min="6923" max="6923" width="14.625" style="2" customWidth="1"/>
    <col min="6924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3" width="10.875" style="2" customWidth="1"/>
    <col min="7174" max="7176" width="12.125" style="2"/>
    <col min="7177" max="7177" width="13.375" style="2" customWidth="1"/>
    <col min="7178" max="7178" width="12.125" style="2"/>
    <col min="7179" max="7179" width="14.625" style="2" customWidth="1"/>
    <col min="7180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9" width="10.875" style="2" customWidth="1"/>
    <col min="7430" max="7432" width="12.125" style="2"/>
    <col min="7433" max="7433" width="13.375" style="2" customWidth="1"/>
    <col min="7434" max="7434" width="12.125" style="2"/>
    <col min="7435" max="7435" width="14.625" style="2" customWidth="1"/>
    <col min="7436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5" width="10.875" style="2" customWidth="1"/>
    <col min="7686" max="7688" width="12.125" style="2"/>
    <col min="7689" max="7689" width="13.375" style="2" customWidth="1"/>
    <col min="7690" max="7690" width="12.125" style="2"/>
    <col min="7691" max="7691" width="14.625" style="2" customWidth="1"/>
    <col min="7692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1" width="10.875" style="2" customWidth="1"/>
    <col min="7942" max="7944" width="12.125" style="2"/>
    <col min="7945" max="7945" width="13.375" style="2" customWidth="1"/>
    <col min="7946" max="7946" width="12.125" style="2"/>
    <col min="7947" max="7947" width="14.625" style="2" customWidth="1"/>
    <col min="7948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7" width="10.875" style="2" customWidth="1"/>
    <col min="8198" max="8200" width="12.125" style="2"/>
    <col min="8201" max="8201" width="13.375" style="2" customWidth="1"/>
    <col min="8202" max="8202" width="12.125" style="2"/>
    <col min="8203" max="8203" width="14.625" style="2" customWidth="1"/>
    <col min="8204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3" width="10.875" style="2" customWidth="1"/>
    <col min="8454" max="8456" width="12.125" style="2"/>
    <col min="8457" max="8457" width="13.375" style="2" customWidth="1"/>
    <col min="8458" max="8458" width="12.125" style="2"/>
    <col min="8459" max="8459" width="14.625" style="2" customWidth="1"/>
    <col min="8460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9" width="10.875" style="2" customWidth="1"/>
    <col min="8710" max="8712" width="12.125" style="2"/>
    <col min="8713" max="8713" width="13.375" style="2" customWidth="1"/>
    <col min="8714" max="8714" width="12.125" style="2"/>
    <col min="8715" max="8715" width="14.625" style="2" customWidth="1"/>
    <col min="8716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5" width="10.875" style="2" customWidth="1"/>
    <col min="8966" max="8968" width="12.125" style="2"/>
    <col min="8969" max="8969" width="13.375" style="2" customWidth="1"/>
    <col min="8970" max="8970" width="12.125" style="2"/>
    <col min="8971" max="8971" width="14.625" style="2" customWidth="1"/>
    <col min="8972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1" width="10.875" style="2" customWidth="1"/>
    <col min="9222" max="9224" width="12.125" style="2"/>
    <col min="9225" max="9225" width="13.375" style="2" customWidth="1"/>
    <col min="9226" max="9226" width="12.125" style="2"/>
    <col min="9227" max="9227" width="14.625" style="2" customWidth="1"/>
    <col min="9228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7" width="10.875" style="2" customWidth="1"/>
    <col min="9478" max="9480" width="12.125" style="2"/>
    <col min="9481" max="9481" width="13.375" style="2" customWidth="1"/>
    <col min="9482" max="9482" width="12.125" style="2"/>
    <col min="9483" max="9483" width="14.625" style="2" customWidth="1"/>
    <col min="9484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3" width="10.875" style="2" customWidth="1"/>
    <col min="9734" max="9736" width="12.125" style="2"/>
    <col min="9737" max="9737" width="13.375" style="2" customWidth="1"/>
    <col min="9738" max="9738" width="12.125" style="2"/>
    <col min="9739" max="9739" width="14.625" style="2" customWidth="1"/>
    <col min="9740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9" width="10.875" style="2" customWidth="1"/>
    <col min="9990" max="9992" width="12.125" style="2"/>
    <col min="9993" max="9993" width="13.375" style="2" customWidth="1"/>
    <col min="9994" max="9994" width="12.125" style="2"/>
    <col min="9995" max="9995" width="14.625" style="2" customWidth="1"/>
    <col min="9996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5" width="10.875" style="2" customWidth="1"/>
    <col min="10246" max="10248" width="12.125" style="2"/>
    <col min="10249" max="10249" width="13.375" style="2" customWidth="1"/>
    <col min="10250" max="10250" width="12.125" style="2"/>
    <col min="10251" max="10251" width="14.625" style="2" customWidth="1"/>
    <col min="10252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1" width="10.875" style="2" customWidth="1"/>
    <col min="10502" max="10504" width="12.125" style="2"/>
    <col min="10505" max="10505" width="13.375" style="2" customWidth="1"/>
    <col min="10506" max="10506" width="12.125" style="2"/>
    <col min="10507" max="10507" width="14.625" style="2" customWidth="1"/>
    <col min="10508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7" width="10.875" style="2" customWidth="1"/>
    <col min="10758" max="10760" width="12.125" style="2"/>
    <col min="10761" max="10761" width="13.375" style="2" customWidth="1"/>
    <col min="10762" max="10762" width="12.125" style="2"/>
    <col min="10763" max="10763" width="14.625" style="2" customWidth="1"/>
    <col min="10764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3" width="10.875" style="2" customWidth="1"/>
    <col min="11014" max="11016" width="12.125" style="2"/>
    <col min="11017" max="11017" width="13.375" style="2" customWidth="1"/>
    <col min="11018" max="11018" width="12.125" style="2"/>
    <col min="11019" max="11019" width="14.625" style="2" customWidth="1"/>
    <col min="11020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9" width="10.875" style="2" customWidth="1"/>
    <col min="11270" max="11272" width="12.125" style="2"/>
    <col min="11273" max="11273" width="13.375" style="2" customWidth="1"/>
    <col min="11274" max="11274" width="12.125" style="2"/>
    <col min="11275" max="11275" width="14.625" style="2" customWidth="1"/>
    <col min="11276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5" width="10.875" style="2" customWidth="1"/>
    <col min="11526" max="11528" width="12.125" style="2"/>
    <col min="11529" max="11529" width="13.375" style="2" customWidth="1"/>
    <col min="11530" max="11530" width="12.125" style="2"/>
    <col min="11531" max="11531" width="14.625" style="2" customWidth="1"/>
    <col min="11532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1" width="10.875" style="2" customWidth="1"/>
    <col min="11782" max="11784" width="12.125" style="2"/>
    <col min="11785" max="11785" width="13.375" style="2" customWidth="1"/>
    <col min="11786" max="11786" width="12.125" style="2"/>
    <col min="11787" max="11787" width="14.625" style="2" customWidth="1"/>
    <col min="11788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7" width="10.875" style="2" customWidth="1"/>
    <col min="12038" max="12040" width="12.125" style="2"/>
    <col min="12041" max="12041" width="13.375" style="2" customWidth="1"/>
    <col min="12042" max="12042" width="12.125" style="2"/>
    <col min="12043" max="12043" width="14.625" style="2" customWidth="1"/>
    <col min="12044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3" width="10.875" style="2" customWidth="1"/>
    <col min="12294" max="12296" width="12.125" style="2"/>
    <col min="12297" max="12297" width="13.375" style="2" customWidth="1"/>
    <col min="12298" max="12298" width="12.125" style="2"/>
    <col min="12299" max="12299" width="14.625" style="2" customWidth="1"/>
    <col min="12300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9" width="10.875" style="2" customWidth="1"/>
    <col min="12550" max="12552" width="12.125" style="2"/>
    <col min="12553" max="12553" width="13.375" style="2" customWidth="1"/>
    <col min="12554" max="12554" width="12.125" style="2"/>
    <col min="12555" max="12555" width="14.625" style="2" customWidth="1"/>
    <col min="12556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5" width="10.875" style="2" customWidth="1"/>
    <col min="12806" max="12808" width="12.125" style="2"/>
    <col min="12809" max="12809" width="13.375" style="2" customWidth="1"/>
    <col min="12810" max="12810" width="12.125" style="2"/>
    <col min="12811" max="12811" width="14.625" style="2" customWidth="1"/>
    <col min="12812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1" width="10.875" style="2" customWidth="1"/>
    <col min="13062" max="13064" width="12.125" style="2"/>
    <col min="13065" max="13065" width="13.375" style="2" customWidth="1"/>
    <col min="13066" max="13066" width="12.125" style="2"/>
    <col min="13067" max="13067" width="14.625" style="2" customWidth="1"/>
    <col min="13068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7" width="10.875" style="2" customWidth="1"/>
    <col min="13318" max="13320" width="12.125" style="2"/>
    <col min="13321" max="13321" width="13.375" style="2" customWidth="1"/>
    <col min="13322" max="13322" width="12.125" style="2"/>
    <col min="13323" max="13323" width="14.625" style="2" customWidth="1"/>
    <col min="13324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3" width="10.875" style="2" customWidth="1"/>
    <col min="13574" max="13576" width="12.125" style="2"/>
    <col min="13577" max="13577" width="13.375" style="2" customWidth="1"/>
    <col min="13578" max="13578" width="12.125" style="2"/>
    <col min="13579" max="13579" width="14.625" style="2" customWidth="1"/>
    <col min="13580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9" width="10.875" style="2" customWidth="1"/>
    <col min="13830" max="13832" width="12.125" style="2"/>
    <col min="13833" max="13833" width="13.375" style="2" customWidth="1"/>
    <col min="13834" max="13834" width="12.125" style="2"/>
    <col min="13835" max="13835" width="14.625" style="2" customWidth="1"/>
    <col min="13836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5" width="10.875" style="2" customWidth="1"/>
    <col min="14086" max="14088" width="12.125" style="2"/>
    <col min="14089" max="14089" width="13.375" style="2" customWidth="1"/>
    <col min="14090" max="14090" width="12.125" style="2"/>
    <col min="14091" max="14091" width="14.625" style="2" customWidth="1"/>
    <col min="14092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1" width="10.875" style="2" customWidth="1"/>
    <col min="14342" max="14344" width="12.125" style="2"/>
    <col min="14345" max="14345" width="13.375" style="2" customWidth="1"/>
    <col min="14346" max="14346" width="12.125" style="2"/>
    <col min="14347" max="14347" width="14.625" style="2" customWidth="1"/>
    <col min="14348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7" width="10.875" style="2" customWidth="1"/>
    <col min="14598" max="14600" width="12.125" style="2"/>
    <col min="14601" max="14601" width="13.375" style="2" customWidth="1"/>
    <col min="14602" max="14602" width="12.125" style="2"/>
    <col min="14603" max="14603" width="14.625" style="2" customWidth="1"/>
    <col min="14604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3" width="10.875" style="2" customWidth="1"/>
    <col min="14854" max="14856" width="12.125" style="2"/>
    <col min="14857" max="14857" width="13.375" style="2" customWidth="1"/>
    <col min="14858" max="14858" width="12.125" style="2"/>
    <col min="14859" max="14859" width="14.625" style="2" customWidth="1"/>
    <col min="14860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9" width="10.875" style="2" customWidth="1"/>
    <col min="15110" max="15112" width="12.125" style="2"/>
    <col min="15113" max="15113" width="13.375" style="2" customWidth="1"/>
    <col min="15114" max="15114" width="12.125" style="2"/>
    <col min="15115" max="15115" width="14.625" style="2" customWidth="1"/>
    <col min="15116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5" width="10.875" style="2" customWidth="1"/>
    <col min="15366" max="15368" width="12.125" style="2"/>
    <col min="15369" max="15369" width="13.375" style="2" customWidth="1"/>
    <col min="15370" max="15370" width="12.125" style="2"/>
    <col min="15371" max="15371" width="14.625" style="2" customWidth="1"/>
    <col min="15372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1" width="10.875" style="2" customWidth="1"/>
    <col min="15622" max="15624" width="12.125" style="2"/>
    <col min="15625" max="15625" width="13.375" style="2" customWidth="1"/>
    <col min="15626" max="15626" width="12.125" style="2"/>
    <col min="15627" max="15627" width="14.625" style="2" customWidth="1"/>
    <col min="15628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7" width="10.875" style="2" customWidth="1"/>
    <col min="15878" max="15880" width="12.125" style="2"/>
    <col min="15881" max="15881" width="13.375" style="2" customWidth="1"/>
    <col min="15882" max="15882" width="12.125" style="2"/>
    <col min="15883" max="15883" width="14.625" style="2" customWidth="1"/>
    <col min="15884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3" width="10.875" style="2" customWidth="1"/>
    <col min="16134" max="16136" width="12.125" style="2"/>
    <col min="16137" max="16137" width="13.375" style="2" customWidth="1"/>
    <col min="16138" max="16138" width="12.125" style="2"/>
    <col min="16139" max="16139" width="14.625" style="2" customWidth="1"/>
    <col min="16140" max="16384" width="12.125" style="2"/>
  </cols>
  <sheetData>
    <row r="1" spans="1:12" x14ac:dyDescent="0.2">
      <c r="A1" s="1"/>
    </row>
    <row r="6" spans="1:12" x14ac:dyDescent="0.2">
      <c r="D6" s="4" t="s">
        <v>143</v>
      </c>
      <c r="J6" s="3"/>
    </row>
    <row r="7" spans="1:12" ht="18" thickBot="1" x14ac:dyDescent="0.25">
      <c r="B7" s="6"/>
      <c r="C7" s="6"/>
      <c r="D7" s="6"/>
      <c r="E7" s="7" t="s">
        <v>144</v>
      </c>
      <c r="F7" s="6"/>
      <c r="G7" s="6"/>
      <c r="H7" s="6"/>
      <c r="I7" s="6"/>
      <c r="J7" s="6"/>
      <c r="K7" s="3"/>
    </row>
    <row r="8" spans="1:12" x14ac:dyDescent="0.2">
      <c r="C8" s="10"/>
      <c r="E8" s="10"/>
      <c r="G8" s="13" t="s">
        <v>145</v>
      </c>
      <c r="H8" s="13" t="s">
        <v>146</v>
      </c>
      <c r="I8" s="10"/>
      <c r="J8" s="10"/>
      <c r="K8" s="3"/>
      <c r="L8" s="3"/>
    </row>
    <row r="9" spans="1:12" x14ac:dyDescent="0.2">
      <c r="C9" s="29" t="s">
        <v>147</v>
      </c>
      <c r="D9" s="12"/>
      <c r="E9" s="29" t="s">
        <v>148</v>
      </c>
      <c r="F9" s="12"/>
      <c r="G9" s="13" t="s">
        <v>149</v>
      </c>
      <c r="H9" s="13" t="s">
        <v>150</v>
      </c>
      <c r="I9" s="13" t="s">
        <v>151</v>
      </c>
      <c r="J9" s="13" t="s">
        <v>152</v>
      </c>
      <c r="K9" s="3"/>
      <c r="L9" s="3"/>
    </row>
    <row r="10" spans="1:12" x14ac:dyDescent="0.2">
      <c r="B10" s="12"/>
      <c r="C10" s="29" t="s">
        <v>153</v>
      </c>
      <c r="D10" s="29" t="s">
        <v>154</v>
      </c>
      <c r="E10" s="29" t="s">
        <v>155</v>
      </c>
      <c r="F10" s="29" t="s">
        <v>156</v>
      </c>
      <c r="G10" s="29" t="s">
        <v>157</v>
      </c>
      <c r="H10" s="29" t="s">
        <v>158</v>
      </c>
      <c r="I10" s="29" t="s">
        <v>159</v>
      </c>
      <c r="J10" s="14"/>
      <c r="K10" s="3"/>
      <c r="L10" s="3"/>
    </row>
    <row r="11" spans="1:12" x14ac:dyDescent="0.2">
      <c r="C11" s="10"/>
      <c r="K11" s="3"/>
    </row>
    <row r="12" spans="1:12" x14ac:dyDescent="0.2">
      <c r="B12" s="1" t="s">
        <v>14</v>
      </c>
      <c r="C12" s="28">
        <v>32</v>
      </c>
      <c r="D12" s="5">
        <v>15</v>
      </c>
      <c r="E12" s="5">
        <v>255</v>
      </c>
      <c r="F12" s="5">
        <v>25</v>
      </c>
      <c r="G12" s="5">
        <v>1665</v>
      </c>
      <c r="H12" s="5">
        <v>99</v>
      </c>
      <c r="I12" s="5">
        <v>10260</v>
      </c>
      <c r="J12" s="5">
        <v>1617</v>
      </c>
      <c r="K12" s="25"/>
    </row>
    <row r="13" spans="1:12" x14ac:dyDescent="0.2">
      <c r="B13" s="1" t="s">
        <v>15</v>
      </c>
      <c r="C13" s="28">
        <v>29</v>
      </c>
      <c r="D13" s="5">
        <v>17</v>
      </c>
      <c r="E13" s="19" t="s">
        <v>139</v>
      </c>
      <c r="F13" s="19" t="s">
        <v>139</v>
      </c>
      <c r="G13" s="5">
        <v>1966</v>
      </c>
      <c r="H13" s="5">
        <v>91</v>
      </c>
      <c r="I13" s="5">
        <v>13121</v>
      </c>
      <c r="J13" s="5">
        <v>1966</v>
      </c>
      <c r="K13" s="25"/>
    </row>
    <row r="14" spans="1:12" x14ac:dyDescent="0.2">
      <c r="B14" s="1" t="s">
        <v>160</v>
      </c>
      <c r="C14" s="28">
        <v>22</v>
      </c>
      <c r="D14" s="5">
        <v>16</v>
      </c>
      <c r="E14" s="5">
        <v>182</v>
      </c>
      <c r="F14" s="5">
        <v>37</v>
      </c>
      <c r="G14" s="5">
        <v>1893</v>
      </c>
      <c r="H14" s="5">
        <v>78</v>
      </c>
      <c r="I14" s="5">
        <v>14394</v>
      </c>
      <c r="J14" s="5">
        <v>1972</v>
      </c>
      <c r="K14" s="3"/>
    </row>
    <row r="15" spans="1:12" x14ac:dyDescent="0.2">
      <c r="B15" s="1" t="s">
        <v>23</v>
      </c>
      <c r="C15" s="28">
        <v>20</v>
      </c>
      <c r="D15" s="5">
        <v>18</v>
      </c>
      <c r="E15" s="5">
        <v>149</v>
      </c>
      <c r="F15" s="5">
        <v>44</v>
      </c>
      <c r="G15" s="5">
        <v>1924</v>
      </c>
      <c r="H15" s="5">
        <v>79</v>
      </c>
      <c r="I15" s="5">
        <v>14859</v>
      </c>
      <c r="J15" s="5">
        <v>1857</v>
      </c>
      <c r="K15" s="3"/>
    </row>
    <row r="16" spans="1:12" x14ac:dyDescent="0.2">
      <c r="C16" s="10"/>
      <c r="K16" s="3"/>
    </row>
    <row r="17" spans="2:11" x14ac:dyDescent="0.2">
      <c r="B17" s="1" t="s">
        <v>24</v>
      </c>
      <c r="C17" s="28">
        <v>19</v>
      </c>
      <c r="D17" s="5">
        <v>18</v>
      </c>
      <c r="E17" s="5">
        <v>138</v>
      </c>
      <c r="F17" s="5">
        <v>53</v>
      </c>
      <c r="G17" s="5">
        <v>1947</v>
      </c>
      <c r="H17" s="5">
        <v>73</v>
      </c>
      <c r="I17" s="5">
        <v>14044</v>
      </c>
      <c r="J17" s="5">
        <v>1719</v>
      </c>
      <c r="K17" s="3"/>
    </row>
    <row r="18" spans="2:11" x14ac:dyDescent="0.2">
      <c r="B18" s="1" t="s">
        <v>161</v>
      </c>
      <c r="C18" s="28">
        <v>20</v>
      </c>
      <c r="D18" s="5">
        <v>18</v>
      </c>
      <c r="E18" s="5">
        <v>130</v>
      </c>
      <c r="F18" s="5">
        <v>59</v>
      </c>
      <c r="G18" s="5">
        <v>1966</v>
      </c>
      <c r="H18" s="5">
        <v>73</v>
      </c>
      <c r="I18" s="5">
        <v>14093</v>
      </c>
      <c r="J18" s="5">
        <v>1682</v>
      </c>
      <c r="K18" s="3"/>
    </row>
    <row r="19" spans="2:11" x14ac:dyDescent="0.2">
      <c r="B19" s="1" t="s">
        <v>25</v>
      </c>
      <c r="C19" s="28">
        <v>19</v>
      </c>
      <c r="D19" s="5">
        <v>19</v>
      </c>
      <c r="E19" s="5">
        <v>128</v>
      </c>
      <c r="F19" s="5">
        <v>69</v>
      </c>
      <c r="G19" s="5">
        <v>1966</v>
      </c>
      <c r="H19" s="5">
        <v>69</v>
      </c>
      <c r="I19" s="5">
        <v>14170</v>
      </c>
      <c r="J19" s="5">
        <v>1674</v>
      </c>
      <c r="K19" s="3"/>
    </row>
    <row r="20" spans="2:11" x14ac:dyDescent="0.2">
      <c r="B20" s="1" t="s">
        <v>162</v>
      </c>
      <c r="C20" s="28">
        <v>16</v>
      </c>
      <c r="D20" s="5">
        <v>20</v>
      </c>
      <c r="E20" s="5">
        <f>11+112</f>
        <v>123</v>
      </c>
      <c r="F20" s="5">
        <f>11+13+16+20+16</f>
        <v>76</v>
      </c>
      <c r="G20" s="5">
        <f>60+1326+576+5</f>
        <v>1967</v>
      </c>
      <c r="H20" s="5">
        <v>69</v>
      </c>
      <c r="I20" s="5">
        <v>14125</v>
      </c>
      <c r="J20" s="5">
        <v>1659</v>
      </c>
      <c r="K20" s="3"/>
    </row>
    <row r="21" spans="2:11" x14ac:dyDescent="0.2">
      <c r="B21" s="4" t="s">
        <v>53</v>
      </c>
      <c r="C21" s="30">
        <v>19</v>
      </c>
      <c r="D21" s="26">
        <v>20</v>
      </c>
      <c r="E21" s="26">
        <v>122</v>
      </c>
      <c r="F21" s="26">
        <v>80</v>
      </c>
      <c r="G21" s="26">
        <v>1975</v>
      </c>
      <c r="H21" s="26">
        <v>66</v>
      </c>
      <c r="I21" s="26">
        <v>14014</v>
      </c>
      <c r="J21" s="26">
        <v>1625</v>
      </c>
      <c r="K21" s="3"/>
    </row>
    <row r="22" spans="2:11" ht="18" thickBot="1" x14ac:dyDescent="0.25">
      <c r="B22" s="6"/>
      <c r="C22" s="23"/>
      <c r="D22" s="6"/>
      <c r="E22" s="6"/>
      <c r="F22" s="6"/>
      <c r="G22" s="6"/>
      <c r="H22" s="6"/>
      <c r="I22" s="6"/>
      <c r="J22" s="6"/>
      <c r="K22" s="3"/>
    </row>
    <row r="23" spans="2:11" x14ac:dyDescent="0.2">
      <c r="C23" s="1" t="s">
        <v>55</v>
      </c>
      <c r="K23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1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5" width="10.875" style="2" customWidth="1"/>
    <col min="6" max="8" width="12.125" style="2"/>
    <col min="9" max="9" width="13.375" style="2" customWidth="1"/>
    <col min="10" max="10" width="12.125" style="2"/>
    <col min="11" max="11" width="14.625" style="2" customWidth="1"/>
    <col min="12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1" width="10.875" style="2" customWidth="1"/>
    <col min="262" max="264" width="12.125" style="2"/>
    <col min="265" max="265" width="13.375" style="2" customWidth="1"/>
    <col min="266" max="266" width="12.125" style="2"/>
    <col min="267" max="267" width="14.625" style="2" customWidth="1"/>
    <col min="268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7" width="10.875" style="2" customWidth="1"/>
    <col min="518" max="520" width="12.125" style="2"/>
    <col min="521" max="521" width="13.375" style="2" customWidth="1"/>
    <col min="522" max="522" width="12.125" style="2"/>
    <col min="523" max="523" width="14.625" style="2" customWidth="1"/>
    <col min="524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3" width="10.875" style="2" customWidth="1"/>
    <col min="774" max="776" width="12.125" style="2"/>
    <col min="777" max="777" width="13.375" style="2" customWidth="1"/>
    <col min="778" max="778" width="12.125" style="2"/>
    <col min="779" max="779" width="14.625" style="2" customWidth="1"/>
    <col min="780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9" width="10.875" style="2" customWidth="1"/>
    <col min="1030" max="1032" width="12.125" style="2"/>
    <col min="1033" max="1033" width="13.375" style="2" customWidth="1"/>
    <col min="1034" max="1034" width="12.125" style="2"/>
    <col min="1035" max="1035" width="14.625" style="2" customWidth="1"/>
    <col min="1036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5" width="10.875" style="2" customWidth="1"/>
    <col min="1286" max="1288" width="12.125" style="2"/>
    <col min="1289" max="1289" width="13.375" style="2" customWidth="1"/>
    <col min="1290" max="1290" width="12.125" style="2"/>
    <col min="1291" max="1291" width="14.625" style="2" customWidth="1"/>
    <col min="1292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1" width="10.875" style="2" customWidth="1"/>
    <col min="1542" max="1544" width="12.125" style="2"/>
    <col min="1545" max="1545" width="13.375" style="2" customWidth="1"/>
    <col min="1546" max="1546" width="12.125" style="2"/>
    <col min="1547" max="1547" width="14.625" style="2" customWidth="1"/>
    <col min="1548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7" width="10.875" style="2" customWidth="1"/>
    <col min="1798" max="1800" width="12.125" style="2"/>
    <col min="1801" max="1801" width="13.375" style="2" customWidth="1"/>
    <col min="1802" max="1802" width="12.125" style="2"/>
    <col min="1803" max="1803" width="14.625" style="2" customWidth="1"/>
    <col min="1804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3" width="10.875" style="2" customWidth="1"/>
    <col min="2054" max="2056" width="12.125" style="2"/>
    <col min="2057" max="2057" width="13.375" style="2" customWidth="1"/>
    <col min="2058" max="2058" width="12.125" style="2"/>
    <col min="2059" max="2059" width="14.625" style="2" customWidth="1"/>
    <col min="2060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9" width="10.875" style="2" customWidth="1"/>
    <col min="2310" max="2312" width="12.125" style="2"/>
    <col min="2313" max="2313" width="13.375" style="2" customWidth="1"/>
    <col min="2314" max="2314" width="12.125" style="2"/>
    <col min="2315" max="2315" width="14.625" style="2" customWidth="1"/>
    <col min="2316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5" width="10.875" style="2" customWidth="1"/>
    <col min="2566" max="2568" width="12.125" style="2"/>
    <col min="2569" max="2569" width="13.375" style="2" customWidth="1"/>
    <col min="2570" max="2570" width="12.125" style="2"/>
    <col min="2571" max="2571" width="14.625" style="2" customWidth="1"/>
    <col min="2572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1" width="10.875" style="2" customWidth="1"/>
    <col min="2822" max="2824" width="12.125" style="2"/>
    <col min="2825" max="2825" width="13.375" style="2" customWidth="1"/>
    <col min="2826" max="2826" width="12.125" style="2"/>
    <col min="2827" max="2827" width="14.625" style="2" customWidth="1"/>
    <col min="2828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7" width="10.875" style="2" customWidth="1"/>
    <col min="3078" max="3080" width="12.125" style="2"/>
    <col min="3081" max="3081" width="13.375" style="2" customWidth="1"/>
    <col min="3082" max="3082" width="12.125" style="2"/>
    <col min="3083" max="3083" width="14.625" style="2" customWidth="1"/>
    <col min="3084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3" width="10.875" style="2" customWidth="1"/>
    <col min="3334" max="3336" width="12.125" style="2"/>
    <col min="3337" max="3337" width="13.375" style="2" customWidth="1"/>
    <col min="3338" max="3338" width="12.125" style="2"/>
    <col min="3339" max="3339" width="14.625" style="2" customWidth="1"/>
    <col min="3340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9" width="10.875" style="2" customWidth="1"/>
    <col min="3590" max="3592" width="12.125" style="2"/>
    <col min="3593" max="3593" width="13.375" style="2" customWidth="1"/>
    <col min="3594" max="3594" width="12.125" style="2"/>
    <col min="3595" max="3595" width="14.625" style="2" customWidth="1"/>
    <col min="3596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5" width="10.875" style="2" customWidth="1"/>
    <col min="3846" max="3848" width="12.125" style="2"/>
    <col min="3849" max="3849" width="13.375" style="2" customWidth="1"/>
    <col min="3850" max="3850" width="12.125" style="2"/>
    <col min="3851" max="3851" width="14.625" style="2" customWidth="1"/>
    <col min="3852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1" width="10.875" style="2" customWidth="1"/>
    <col min="4102" max="4104" width="12.125" style="2"/>
    <col min="4105" max="4105" width="13.375" style="2" customWidth="1"/>
    <col min="4106" max="4106" width="12.125" style="2"/>
    <col min="4107" max="4107" width="14.625" style="2" customWidth="1"/>
    <col min="4108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7" width="10.875" style="2" customWidth="1"/>
    <col min="4358" max="4360" width="12.125" style="2"/>
    <col min="4361" max="4361" width="13.375" style="2" customWidth="1"/>
    <col min="4362" max="4362" width="12.125" style="2"/>
    <col min="4363" max="4363" width="14.625" style="2" customWidth="1"/>
    <col min="4364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3" width="10.875" style="2" customWidth="1"/>
    <col min="4614" max="4616" width="12.125" style="2"/>
    <col min="4617" max="4617" width="13.375" style="2" customWidth="1"/>
    <col min="4618" max="4618" width="12.125" style="2"/>
    <col min="4619" max="4619" width="14.625" style="2" customWidth="1"/>
    <col min="4620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9" width="10.875" style="2" customWidth="1"/>
    <col min="4870" max="4872" width="12.125" style="2"/>
    <col min="4873" max="4873" width="13.375" style="2" customWidth="1"/>
    <col min="4874" max="4874" width="12.125" style="2"/>
    <col min="4875" max="4875" width="14.625" style="2" customWidth="1"/>
    <col min="4876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5" width="10.875" style="2" customWidth="1"/>
    <col min="5126" max="5128" width="12.125" style="2"/>
    <col min="5129" max="5129" width="13.375" style="2" customWidth="1"/>
    <col min="5130" max="5130" width="12.125" style="2"/>
    <col min="5131" max="5131" width="14.625" style="2" customWidth="1"/>
    <col min="5132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1" width="10.875" style="2" customWidth="1"/>
    <col min="5382" max="5384" width="12.125" style="2"/>
    <col min="5385" max="5385" width="13.375" style="2" customWidth="1"/>
    <col min="5386" max="5386" width="12.125" style="2"/>
    <col min="5387" max="5387" width="14.625" style="2" customWidth="1"/>
    <col min="5388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7" width="10.875" style="2" customWidth="1"/>
    <col min="5638" max="5640" width="12.125" style="2"/>
    <col min="5641" max="5641" width="13.375" style="2" customWidth="1"/>
    <col min="5642" max="5642" width="12.125" style="2"/>
    <col min="5643" max="5643" width="14.625" style="2" customWidth="1"/>
    <col min="5644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3" width="10.875" style="2" customWidth="1"/>
    <col min="5894" max="5896" width="12.125" style="2"/>
    <col min="5897" max="5897" width="13.375" style="2" customWidth="1"/>
    <col min="5898" max="5898" width="12.125" style="2"/>
    <col min="5899" max="5899" width="14.625" style="2" customWidth="1"/>
    <col min="5900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9" width="10.875" style="2" customWidth="1"/>
    <col min="6150" max="6152" width="12.125" style="2"/>
    <col min="6153" max="6153" width="13.375" style="2" customWidth="1"/>
    <col min="6154" max="6154" width="12.125" style="2"/>
    <col min="6155" max="6155" width="14.625" style="2" customWidth="1"/>
    <col min="6156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5" width="10.875" style="2" customWidth="1"/>
    <col min="6406" max="6408" width="12.125" style="2"/>
    <col min="6409" max="6409" width="13.375" style="2" customWidth="1"/>
    <col min="6410" max="6410" width="12.125" style="2"/>
    <col min="6411" max="6411" width="14.625" style="2" customWidth="1"/>
    <col min="6412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1" width="10.875" style="2" customWidth="1"/>
    <col min="6662" max="6664" width="12.125" style="2"/>
    <col min="6665" max="6665" width="13.375" style="2" customWidth="1"/>
    <col min="6666" max="6666" width="12.125" style="2"/>
    <col min="6667" max="6667" width="14.625" style="2" customWidth="1"/>
    <col min="6668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7" width="10.875" style="2" customWidth="1"/>
    <col min="6918" max="6920" width="12.125" style="2"/>
    <col min="6921" max="6921" width="13.375" style="2" customWidth="1"/>
    <col min="6922" max="6922" width="12.125" style="2"/>
    <col min="6923" max="6923" width="14.625" style="2" customWidth="1"/>
    <col min="6924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3" width="10.875" style="2" customWidth="1"/>
    <col min="7174" max="7176" width="12.125" style="2"/>
    <col min="7177" max="7177" width="13.375" style="2" customWidth="1"/>
    <col min="7178" max="7178" width="12.125" style="2"/>
    <col min="7179" max="7179" width="14.625" style="2" customWidth="1"/>
    <col min="7180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9" width="10.875" style="2" customWidth="1"/>
    <col min="7430" max="7432" width="12.125" style="2"/>
    <col min="7433" max="7433" width="13.375" style="2" customWidth="1"/>
    <col min="7434" max="7434" width="12.125" style="2"/>
    <col min="7435" max="7435" width="14.625" style="2" customWidth="1"/>
    <col min="7436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5" width="10.875" style="2" customWidth="1"/>
    <col min="7686" max="7688" width="12.125" style="2"/>
    <col min="7689" max="7689" width="13.375" style="2" customWidth="1"/>
    <col min="7690" max="7690" width="12.125" style="2"/>
    <col min="7691" max="7691" width="14.625" style="2" customWidth="1"/>
    <col min="7692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1" width="10.875" style="2" customWidth="1"/>
    <col min="7942" max="7944" width="12.125" style="2"/>
    <col min="7945" max="7945" width="13.375" style="2" customWidth="1"/>
    <col min="7946" max="7946" width="12.125" style="2"/>
    <col min="7947" max="7947" width="14.625" style="2" customWidth="1"/>
    <col min="7948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7" width="10.875" style="2" customWidth="1"/>
    <col min="8198" max="8200" width="12.125" style="2"/>
    <col min="8201" max="8201" width="13.375" style="2" customWidth="1"/>
    <col min="8202" max="8202" width="12.125" style="2"/>
    <col min="8203" max="8203" width="14.625" style="2" customWidth="1"/>
    <col min="8204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3" width="10.875" style="2" customWidth="1"/>
    <col min="8454" max="8456" width="12.125" style="2"/>
    <col min="8457" max="8457" width="13.375" style="2" customWidth="1"/>
    <col min="8458" max="8458" width="12.125" style="2"/>
    <col min="8459" max="8459" width="14.625" style="2" customWidth="1"/>
    <col min="8460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9" width="10.875" style="2" customWidth="1"/>
    <col min="8710" max="8712" width="12.125" style="2"/>
    <col min="8713" max="8713" width="13.375" style="2" customWidth="1"/>
    <col min="8714" max="8714" width="12.125" style="2"/>
    <col min="8715" max="8715" width="14.625" style="2" customWidth="1"/>
    <col min="8716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5" width="10.875" style="2" customWidth="1"/>
    <col min="8966" max="8968" width="12.125" style="2"/>
    <col min="8969" max="8969" width="13.375" style="2" customWidth="1"/>
    <col min="8970" max="8970" width="12.125" style="2"/>
    <col min="8971" max="8971" width="14.625" style="2" customWidth="1"/>
    <col min="8972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1" width="10.875" style="2" customWidth="1"/>
    <col min="9222" max="9224" width="12.125" style="2"/>
    <col min="9225" max="9225" width="13.375" style="2" customWidth="1"/>
    <col min="9226" max="9226" width="12.125" style="2"/>
    <col min="9227" max="9227" width="14.625" style="2" customWidth="1"/>
    <col min="9228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7" width="10.875" style="2" customWidth="1"/>
    <col min="9478" max="9480" width="12.125" style="2"/>
    <col min="9481" max="9481" width="13.375" style="2" customWidth="1"/>
    <col min="9482" max="9482" width="12.125" style="2"/>
    <col min="9483" max="9483" width="14.625" style="2" customWidth="1"/>
    <col min="9484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3" width="10.875" style="2" customWidth="1"/>
    <col min="9734" max="9736" width="12.125" style="2"/>
    <col min="9737" max="9737" width="13.375" style="2" customWidth="1"/>
    <col min="9738" max="9738" width="12.125" style="2"/>
    <col min="9739" max="9739" width="14.625" style="2" customWidth="1"/>
    <col min="9740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9" width="10.875" style="2" customWidth="1"/>
    <col min="9990" max="9992" width="12.125" style="2"/>
    <col min="9993" max="9993" width="13.375" style="2" customWidth="1"/>
    <col min="9994" max="9994" width="12.125" style="2"/>
    <col min="9995" max="9995" width="14.625" style="2" customWidth="1"/>
    <col min="9996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5" width="10.875" style="2" customWidth="1"/>
    <col min="10246" max="10248" width="12.125" style="2"/>
    <col min="10249" max="10249" width="13.375" style="2" customWidth="1"/>
    <col min="10250" max="10250" width="12.125" style="2"/>
    <col min="10251" max="10251" width="14.625" style="2" customWidth="1"/>
    <col min="10252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1" width="10.875" style="2" customWidth="1"/>
    <col min="10502" max="10504" width="12.125" style="2"/>
    <col min="10505" max="10505" width="13.375" style="2" customWidth="1"/>
    <col min="10506" max="10506" width="12.125" style="2"/>
    <col min="10507" max="10507" width="14.625" style="2" customWidth="1"/>
    <col min="10508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7" width="10.875" style="2" customWidth="1"/>
    <col min="10758" max="10760" width="12.125" style="2"/>
    <col min="10761" max="10761" width="13.375" style="2" customWidth="1"/>
    <col min="10762" max="10762" width="12.125" style="2"/>
    <col min="10763" max="10763" width="14.625" style="2" customWidth="1"/>
    <col min="10764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3" width="10.875" style="2" customWidth="1"/>
    <col min="11014" max="11016" width="12.125" style="2"/>
    <col min="11017" max="11017" width="13.375" style="2" customWidth="1"/>
    <col min="11018" max="11018" width="12.125" style="2"/>
    <col min="11019" max="11019" width="14.625" style="2" customWidth="1"/>
    <col min="11020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9" width="10.875" style="2" customWidth="1"/>
    <col min="11270" max="11272" width="12.125" style="2"/>
    <col min="11273" max="11273" width="13.375" style="2" customWidth="1"/>
    <col min="11274" max="11274" width="12.125" style="2"/>
    <col min="11275" max="11275" width="14.625" style="2" customWidth="1"/>
    <col min="11276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5" width="10.875" style="2" customWidth="1"/>
    <col min="11526" max="11528" width="12.125" style="2"/>
    <col min="11529" max="11529" width="13.375" style="2" customWidth="1"/>
    <col min="11530" max="11530" width="12.125" style="2"/>
    <col min="11531" max="11531" width="14.625" style="2" customWidth="1"/>
    <col min="11532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1" width="10.875" style="2" customWidth="1"/>
    <col min="11782" max="11784" width="12.125" style="2"/>
    <col min="11785" max="11785" width="13.375" style="2" customWidth="1"/>
    <col min="11786" max="11786" width="12.125" style="2"/>
    <col min="11787" max="11787" width="14.625" style="2" customWidth="1"/>
    <col min="11788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7" width="10.875" style="2" customWidth="1"/>
    <col min="12038" max="12040" width="12.125" style="2"/>
    <col min="12041" max="12041" width="13.375" style="2" customWidth="1"/>
    <col min="12042" max="12042" width="12.125" style="2"/>
    <col min="12043" max="12043" width="14.625" style="2" customWidth="1"/>
    <col min="12044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3" width="10.875" style="2" customWidth="1"/>
    <col min="12294" max="12296" width="12.125" style="2"/>
    <col min="12297" max="12297" width="13.375" style="2" customWidth="1"/>
    <col min="12298" max="12298" width="12.125" style="2"/>
    <col min="12299" max="12299" width="14.625" style="2" customWidth="1"/>
    <col min="12300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9" width="10.875" style="2" customWidth="1"/>
    <col min="12550" max="12552" width="12.125" style="2"/>
    <col min="12553" max="12553" width="13.375" style="2" customWidth="1"/>
    <col min="12554" max="12554" width="12.125" style="2"/>
    <col min="12555" max="12555" width="14.625" style="2" customWidth="1"/>
    <col min="12556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5" width="10.875" style="2" customWidth="1"/>
    <col min="12806" max="12808" width="12.125" style="2"/>
    <col min="12809" max="12809" width="13.375" style="2" customWidth="1"/>
    <col min="12810" max="12810" width="12.125" style="2"/>
    <col min="12811" max="12811" width="14.625" style="2" customWidth="1"/>
    <col min="12812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1" width="10.875" style="2" customWidth="1"/>
    <col min="13062" max="13064" width="12.125" style="2"/>
    <col min="13065" max="13065" width="13.375" style="2" customWidth="1"/>
    <col min="13066" max="13066" width="12.125" style="2"/>
    <col min="13067" max="13067" width="14.625" style="2" customWidth="1"/>
    <col min="13068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7" width="10.875" style="2" customWidth="1"/>
    <col min="13318" max="13320" width="12.125" style="2"/>
    <col min="13321" max="13321" width="13.375" style="2" customWidth="1"/>
    <col min="13322" max="13322" width="12.125" style="2"/>
    <col min="13323" max="13323" width="14.625" style="2" customWidth="1"/>
    <col min="13324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3" width="10.875" style="2" customWidth="1"/>
    <col min="13574" max="13576" width="12.125" style="2"/>
    <col min="13577" max="13577" width="13.375" style="2" customWidth="1"/>
    <col min="13578" max="13578" width="12.125" style="2"/>
    <col min="13579" max="13579" width="14.625" style="2" customWidth="1"/>
    <col min="13580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9" width="10.875" style="2" customWidth="1"/>
    <col min="13830" max="13832" width="12.125" style="2"/>
    <col min="13833" max="13833" width="13.375" style="2" customWidth="1"/>
    <col min="13834" max="13834" width="12.125" style="2"/>
    <col min="13835" max="13835" width="14.625" style="2" customWidth="1"/>
    <col min="13836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5" width="10.875" style="2" customWidth="1"/>
    <col min="14086" max="14088" width="12.125" style="2"/>
    <col min="14089" max="14089" width="13.375" style="2" customWidth="1"/>
    <col min="14090" max="14090" width="12.125" style="2"/>
    <col min="14091" max="14091" width="14.625" style="2" customWidth="1"/>
    <col min="14092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1" width="10.875" style="2" customWidth="1"/>
    <col min="14342" max="14344" width="12.125" style="2"/>
    <col min="14345" max="14345" width="13.375" style="2" customWidth="1"/>
    <col min="14346" max="14346" width="12.125" style="2"/>
    <col min="14347" max="14347" width="14.625" style="2" customWidth="1"/>
    <col min="14348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7" width="10.875" style="2" customWidth="1"/>
    <col min="14598" max="14600" width="12.125" style="2"/>
    <col min="14601" max="14601" width="13.375" style="2" customWidth="1"/>
    <col min="14602" max="14602" width="12.125" style="2"/>
    <col min="14603" max="14603" width="14.625" style="2" customWidth="1"/>
    <col min="14604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3" width="10.875" style="2" customWidth="1"/>
    <col min="14854" max="14856" width="12.125" style="2"/>
    <col min="14857" max="14857" width="13.375" style="2" customWidth="1"/>
    <col min="14858" max="14858" width="12.125" style="2"/>
    <col min="14859" max="14859" width="14.625" style="2" customWidth="1"/>
    <col min="14860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9" width="10.875" style="2" customWidth="1"/>
    <col min="15110" max="15112" width="12.125" style="2"/>
    <col min="15113" max="15113" width="13.375" style="2" customWidth="1"/>
    <col min="15114" max="15114" width="12.125" style="2"/>
    <col min="15115" max="15115" width="14.625" style="2" customWidth="1"/>
    <col min="15116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5" width="10.875" style="2" customWidth="1"/>
    <col min="15366" max="15368" width="12.125" style="2"/>
    <col min="15369" max="15369" width="13.375" style="2" customWidth="1"/>
    <col min="15370" max="15370" width="12.125" style="2"/>
    <col min="15371" max="15371" width="14.625" style="2" customWidth="1"/>
    <col min="15372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1" width="10.875" style="2" customWidth="1"/>
    <col min="15622" max="15624" width="12.125" style="2"/>
    <col min="15625" max="15625" width="13.375" style="2" customWidth="1"/>
    <col min="15626" max="15626" width="12.125" style="2"/>
    <col min="15627" max="15627" width="14.625" style="2" customWidth="1"/>
    <col min="15628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7" width="10.875" style="2" customWidth="1"/>
    <col min="15878" max="15880" width="12.125" style="2"/>
    <col min="15881" max="15881" width="13.375" style="2" customWidth="1"/>
    <col min="15882" max="15882" width="12.125" style="2"/>
    <col min="15883" max="15883" width="14.625" style="2" customWidth="1"/>
    <col min="15884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3" width="10.875" style="2" customWidth="1"/>
    <col min="16134" max="16136" width="12.125" style="2"/>
    <col min="16137" max="16137" width="13.375" style="2" customWidth="1"/>
    <col min="16138" max="16138" width="12.125" style="2"/>
    <col min="16139" max="16139" width="14.625" style="2" customWidth="1"/>
    <col min="16140" max="16384" width="12.125" style="2"/>
  </cols>
  <sheetData>
    <row r="1" spans="1:12" x14ac:dyDescent="0.2">
      <c r="A1" s="1"/>
    </row>
    <row r="6" spans="1:12" x14ac:dyDescent="0.2">
      <c r="E6" s="4" t="s">
        <v>163</v>
      </c>
      <c r="K6" s="3"/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9" t="s">
        <v>2</v>
      </c>
    </row>
    <row r="8" spans="1:12" x14ac:dyDescent="0.2">
      <c r="C8" s="10"/>
      <c r="D8" s="12"/>
      <c r="E8" s="12"/>
      <c r="F8" s="31" t="s">
        <v>164</v>
      </c>
      <c r="G8" s="12"/>
      <c r="H8" s="12"/>
      <c r="I8" s="12"/>
      <c r="J8" s="12"/>
      <c r="K8" s="12"/>
    </row>
    <row r="9" spans="1:12" x14ac:dyDescent="0.2">
      <c r="C9" s="13" t="s">
        <v>165</v>
      </c>
      <c r="D9" s="10"/>
      <c r="F9" s="10"/>
      <c r="G9" s="10"/>
      <c r="H9" s="14"/>
      <c r="I9" s="15" t="s">
        <v>166</v>
      </c>
      <c r="J9" s="12"/>
      <c r="K9" s="12"/>
      <c r="L9" s="3"/>
    </row>
    <row r="10" spans="1:12" x14ac:dyDescent="0.2">
      <c r="C10" s="13" t="s">
        <v>167</v>
      </c>
      <c r="D10" s="17" t="s">
        <v>168</v>
      </c>
      <c r="E10" s="12"/>
      <c r="F10" s="16" t="s">
        <v>169</v>
      </c>
      <c r="G10" s="13" t="s">
        <v>170</v>
      </c>
      <c r="H10" s="14"/>
      <c r="I10" s="15" t="s">
        <v>171</v>
      </c>
      <c r="J10" s="12"/>
      <c r="K10" s="29" t="s">
        <v>172</v>
      </c>
      <c r="L10" s="3"/>
    </row>
    <row r="11" spans="1:12" x14ac:dyDescent="0.2">
      <c r="B11" s="12"/>
      <c r="C11" s="29" t="s">
        <v>173</v>
      </c>
      <c r="D11" s="17" t="s">
        <v>174</v>
      </c>
      <c r="E11" s="17" t="s">
        <v>175</v>
      </c>
      <c r="F11" s="14"/>
      <c r="G11" s="14"/>
      <c r="H11" s="17" t="s">
        <v>176</v>
      </c>
      <c r="I11" s="17" t="s">
        <v>177</v>
      </c>
      <c r="J11" s="17" t="s">
        <v>154</v>
      </c>
      <c r="K11" s="17" t="s">
        <v>178</v>
      </c>
      <c r="L11" s="3"/>
    </row>
    <row r="12" spans="1:12" x14ac:dyDescent="0.2">
      <c r="C12" s="10"/>
      <c r="K12" s="3"/>
    </row>
    <row r="13" spans="1:12" x14ac:dyDescent="0.2">
      <c r="B13" s="1" t="s">
        <v>179</v>
      </c>
      <c r="C13" s="18">
        <f>SUM(D13:K13,C28:I28)</f>
        <v>297048</v>
      </c>
      <c r="D13" s="5">
        <v>206967</v>
      </c>
      <c r="E13" s="5">
        <v>9561</v>
      </c>
      <c r="F13" s="5">
        <v>249</v>
      </c>
      <c r="G13" s="5">
        <v>910</v>
      </c>
      <c r="H13" s="5">
        <v>12612</v>
      </c>
      <c r="I13" s="5">
        <v>7442</v>
      </c>
      <c r="J13" s="5">
        <v>5957</v>
      </c>
      <c r="K13" s="25">
        <v>11899</v>
      </c>
    </row>
    <row r="14" spans="1:12" x14ac:dyDescent="0.2">
      <c r="B14" s="1" t="s">
        <v>180</v>
      </c>
      <c r="C14" s="18">
        <f>SUM(D14:K14,C29:I29)</f>
        <v>229869</v>
      </c>
      <c r="D14" s="5">
        <v>132735</v>
      </c>
      <c r="E14" s="5">
        <v>3741</v>
      </c>
      <c r="F14" s="5">
        <v>238</v>
      </c>
      <c r="G14" s="5">
        <v>1232</v>
      </c>
      <c r="H14" s="5">
        <v>9726</v>
      </c>
      <c r="I14" s="5">
        <v>9540</v>
      </c>
      <c r="J14" s="5">
        <v>16421</v>
      </c>
      <c r="K14" s="25">
        <v>5199</v>
      </c>
    </row>
    <row r="15" spans="1:12" x14ac:dyDescent="0.2">
      <c r="B15" s="1" t="s">
        <v>181</v>
      </c>
      <c r="C15" s="18">
        <f>SUM(D15:K15,C30:I30)</f>
        <v>210927</v>
      </c>
      <c r="D15" s="5">
        <v>117485</v>
      </c>
      <c r="E15" s="5">
        <v>1341</v>
      </c>
      <c r="F15" s="5">
        <v>190</v>
      </c>
      <c r="G15" s="5">
        <v>709</v>
      </c>
      <c r="H15" s="5">
        <v>5612</v>
      </c>
      <c r="I15" s="5">
        <v>13848</v>
      </c>
      <c r="J15" s="5">
        <v>16977</v>
      </c>
      <c r="K15" s="25">
        <v>5029</v>
      </c>
    </row>
    <row r="16" spans="1:12" x14ac:dyDescent="0.2">
      <c r="C16" s="10"/>
      <c r="K16" s="3"/>
    </row>
    <row r="17" spans="2:12" x14ac:dyDescent="0.2">
      <c r="B17" s="1" t="s">
        <v>182</v>
      </c>
      <c r="C17" s="18">
        <f>SUM(D17:K17,C32:I32)</f>
        <v>192079</v>
      </c>
      <c r="D17" s="5">
        <f>10306+97303</f>
        <v>107609</v>
      </c>
      <c r="E17" s="5">
        <f>1801+1481</f>
        <v>3282</v>
      </c>
      <c r="F17" s="5">
        <v>151</v>
      </c>
      <c r="G17" s="5">
        <f>217+814</f>
        <v>1031</v>
      </c>
      <c r="H17" s="5">
        <f>55+2157</f>
        <v>2212</v>
      </c>
      <c r="I17" s="5">
        <f>1506+7397+21+536</f>
        <v>9460</v>
      </c>
      <c r="J17" s="5">
        <f>15644+5084</f>
        <v>20728</v>
      </c>
      <c r="K17" s="25">
        <f>114+83+208+1914</f>
        <v>2319</v>
      </c>
    </row>
    <row r="18" spans="2:12" x14ac:dyDescent="0.2">
      <c r="B18" s="1" t="s">
        <v>183</v>
      </c>
      <c r="C18" s="18">
        <f>SUM(D18:K18,C33:I33)</f>
        <v>159926</v>
      </c>
      <c r="D18" s="5">
        <f>5238+86084</f>
        <v>91322</v>
      </c>
      <c r="E18" s="5">
        <f>1081+87</f>
        <v>1168</v>
      </c>
      <c r="F18" s="5">
        <v>127</v>
      </c>
      <c r="G18" s="5">
        <f>138+819</f>
        <v>957</v>
      </c>
      <c r="H18" s="5">
        <f>29+1708+777</f>
        <v>2514</v>
      </c>
      <c r="I18" s="5">
        <f>82+877+1343+7722</f>
        <v>10024</v>
      </c>
      <c r="J18" s="5">
        <f>2036+9165</f>
        <v>11201</v>
      </c>
      <c r="K18" s="25">
        <f>13+902</f>
        <v>915</v>
      </c>
    </row>
    <row r="19" spans="2:12" x14ac:dyDescent="0.2">
      <c r="B19" s="1" t="s">
        <v>184</v>
      </c>
      <c r="C19" s="18">
        <f>SUM(D19:K19,C34:I34)</f>
        <v>162185</v>
      </c>
      <c r="D19" s="5">
        <v>91867</v>
      </c>
      <c r="E19" s="5">
        <v>1245</v>
      </c>
      <c r="F19" s="5">
        <v>75</v>
      </c>
      <c r="G19" s="5">
        <v>752</v>
      </c>
      <c r="H19" s="5">
        <v>2152</v>
      </c>
      <c r="I19" s="5">
        <v>9819</v>
      </c>
      <c r="J19" s="5">
        <v>14884</v>
      </c>
      <c r="K19" s="25">
        <f>31+727</f>
        <v>758</v>
      </c>
    </row>
    <row r="20" spans="2:12" x14ac:dyDescent="0.2">
      <c r="B20" s="1" t="s">
        <v>185</v>
      </c>
      <c r="C20" s="18">
        <f>SUM(D20:K20,C35:I35)</f>
        <v>150600</v>
      </c>
      <c r="D20" s="5">
        <f>4753+76409</f>
        <v>81162</v>
      </c>
      <c r="E20" s="5">
        <f>737+349</f>
        <v>1086</v>
      </c>
      <c r="F20" s="5">
        <v>114</v>
      </c>
      <c r="G20" s="5">
        <f>834+24</f>
        <v>858</v>
      </c>
      <c r="H20" s="5">
        <f>9+749+1191</f>
        <v>1949</v>
      </c>
      <c r="I20" s="5">
        <f>110+659+1289+7385</f>
        <v>9443</v>
      </c>
      <c r="J20" s="5">
        <f>1301+17371</f>
        <v>18672</v>
      </c>
      <c r="K20" s="25">
        <v>155</v>
      </c>
    </row>
    <row r="21" spans="2:12" x14ac:dyDescent="0.2">
      <c r="B21" s="4" t="s">
        <v>186</v>
      </c>
      <c r="C21" s="20">
        <f>SUM(D21:K21,C36:I36)</f>
        <v>147102</v>
      </c>
      <c r="D21" s="26">
        <f>3546+73650</f>
        <v>77196</v>
      </c>
      <c r="E21" s="26">
        <f>837+336</f>
        <v>1173</v>
      </c>
      <c r="F21" s="26">
        <f>293+49</f>
        <v>342</v>
      </c>
      <c r="G21" s="26">
        <f>728+12</f>
        <v>740</v>
      </c>
      <c r="H21" s="26">
        <f>30+761+1137</f>
        <v>1928</v>
      </c>
      <c r="I21" s="26">
        <f>183+897+2288+6725</f>
        <v>10093</v>
      </c>
      <c r="J21" s="26">
        <f>921+15810</f>
        <v>16731</v>
      </c>
      <c r="K21" s="37" t="s">
        <v>52</v>
      </c>
    </row>
    <row r="22" spans="2:12" ht="18" thickBot="1" x14ac:dyDescent="0.25">
      <c r="B22" s="6"/>
      <c r="C22" s="23"/>
      <c r="D22" s="6"/>
      <c r="E22" s="6"/>
      <c r="F22" s="6"/>
      <c r="G22" s="6"/>
      <c r="H22" s="6"/>
      <c r="I22" s="6"/>
      <c r="J22" s="6"/>
      <c r="K22" s="6"/>
    </row>
    <row r="23" spans="2:12" x14ac:dyDescent="0.2">
      <c r="C23" s="14"/>
      <c r="D23" s="31" t="s">
        <v>187</v>
      </c>
      <c r="E23" s="12"/>
      <c r="F23" s="12"/>
      <c r="G23" s="12"/>
      <c r="H23" s="12"/>
      <c r="I23" s="12"/>
      <c r="J23" s="29" t="s">
        <v>188</v>
      </c>
      <c r="K23" s="12"/>
    </row>
    <row r="24" spans="2:12" x14ac:dyDescent="0.2">
      <c r="C24" s="29" t="s">
        <v>189</v>
      </c>
      <c r="D24" s="12"/>
      <c r="E24" s="14"/>
      <c r="F24" s="15" t="s">
        <v>190</v>
      </c>
      <c r="G24" s="12"/>
      <c r="H24" s="10"/>
      <c r="I24" s="10"/>
      <c r="J24" s="29" t="s">
        <v>191</v>
      </c>
      <c r="K24" s="12"/>
    </row>
    <row r="25" spans="2:12" x14ac:dyDescent="0.2">
      <c r="C25" s="29" t="s">
        <v>172</v>
      </c>
      <c r="D25" s="10"/>
      <c r="E25" s="10"/>
      <c r="F25" s="13" t="s">
        <v>192</v>
      </c>
      <c r="G25" s="13" t="s">
        <v>192</v>
      </c>
      <c r="H25" s="16" t="s">
        <v>193</v>
      </c>
      <c r="I25" s="16" t="s">
        <v>154</v>
      </c>
      <c r="J25" s="13" t="s">
        <v>194</v>
      </c>
      <c r="K25" s="13" t="s">
        <v>194</v>
      </c>
    </row>
    <row r="26" spans="2:12" x14ac:dyDescent="0.2">
      <c r="B26" s="12"/>
      <c r="C26" s="17" t="s">
        <v>195</v>
      </c>
      <c r="D26" s="17" t="s">
        <v>154</v>
      </c>
      <c r="E26" s="17" t="s">
        <v>196</v>
      </c>
      <c r="F26" s="29" t="s">
        <v>197</v>
      </c>
      <c r="G26" s="29" t="s">
        <v>198</v>
      </c>
      <c r="H26" s="14"/>
      <c r="I26" s="14"/>
      <c r="J26" s="17" t="s">
        <v>199</v>
      </c>
      <c r="K26" s="29" t="s">
        <v>200</v>
      </c>
      <c r="L26" s="3"/>
    </row>
    <row r="27" spans="2:12" x14ac:dyDescent="0.2">
      <c r="C27" s="10"/>
      <c r="J27" s="10"/>
      <c r="K27" s="3"/>
    </row>
    <row r="28" spans="2:12" x14ac:dyDescent="0.2">
      <c r="B28" s="1" t="s">
        <v>179</v>
      </c>
      <c r="C28" s="28">
        <v>1706</v>
      </c>
      <c r="D28" s="5">
        <v>267</v>
      </c>
      <c r="E28" s="5">
        <v>1170</v>
      </c>
      <c r="F28" s="5">
        <v>11397</v>
      </c>
      <c r="G28" s="5">
        <v>8406</v>
      </c>
      <c r="H28" s="5">
        <v>15974</v>
      </c>
      <c r="I28" s="5">
        <v>2531</v>
      </c>
      <c r="J28" s="28">
        <v>6099</v>
      </c>
      <c r="K28" s="25">
        <v>2659</v>
      </c>
    </row>
    <row r="29" spans="2:12" x14ac:dyDescent="0.2">
      <c r="B29" s="1" t="s">
        <v>180</v>
      </c>
      <c r="C29" s="28">
        <v>877</v>
      </c>
      <c r="D29" s="5">
        <v>5656</v>
      </c>
      <c r="E29" s="5">
        <v>1423</v>
      </c>
      <c r="F29" s="5">
        <v>17327</v>
      </c>
      <c r="G29" s="5">
        <v>14117</v>
      </c>
      <c r="H29" s="5">
        <v>6332</v>
      </c>
      <c r="I29" s="5">
        <v>5305</v>
      </c>
      <c r="J29" s="28">
        <v>5319</v>
      </c>
      <c r="K29" s="25">
        <v>3725</v>
      </c>
    </row>
    <row r="30" spans="2:12" x14ac:dyDescent="0.2">
      <c r="B30" s="1" t="s">
        <v>181</v>
      </c>
      <c r="C30" s="28">
        <v>2740</v>
      </c>
      <c r="D30" s="5">
        <v>2116</v>
      </c>
      <c r="E30" s="5">
        <v>494</v>
      </c>
      <c r="F30" s="5">
        <v>21470</v>
      </c>
      <c r="G30" s="5">
        <v>13541</v>
      </c>
      <c r="H30" s="5">
        <v>5044</v>
      </c>
      <c r="I30" s="5">
        <v>4331</v>
      </c>
      <c r="J30" s="28">
        <v>1478</v>
      </c>
      <c r="K30" s="25">
        <v>1930</v>
      </c>
    </row>
    <row r="31" spans="2:12" x14ac:dyDescent="0.2">
      <c r="C31" s="10"/>
      <c r="J31" s="10"/>
      <c r="K31" s="3"/>
    </row>
    <row r="32" spans="2:12" x14ac:dyDescent="0.2">
      <c r="B32" s="1" t="s">
        <v>182</v>
      </c>
      <c r="C32" s="28">
        <f>38+130+442</f>
        <v>610</v>
      </c>
      <c r="D32" s="5">
        <f>530+361</f>
        <v>891</v>
      </c>
      <c r="E32" s="5">
        <f>37+277</f>
        <v>314</v>
      </c>
      <c r="F32" s="5">
        <f>11281+7660</f>
        <v>18941</v>
      </c>
      <c r="G32" s="5">
        <f>10024+3484</f>
        <v>13508</v>
      </c>
      <c r="H32" s="5">
        <v>5268</v>
      </c>
      <c r="I32" s="5">
        <f>4928+827</f>
        <v>5755</v>
      </c>
      <c r="J32" s="28">
        <v>4054</v>
      </c>
      <c r="K32" s="25">
        <v>537</v>
      </c>
    </row>
    <row r="33" spans="2:12" x14ac:dyDescent="0.2">
      <c r="B33" s="1" t="s">
        <v>183</v>
      </c>
      <c r="C33" s="28">
        <f>29+575</f>
        <v>604</v>
      </c>
      <c r="D33" s="5">
        <f>326+522</f>
        <v>848</v>
      </c>
      <c r="E33" s="5">
        <f>38+143</f>
        <v>181</v>
      </c>
      <c r="F33" s="5">
        <f>7184+10547</f>
        <v>17731</v>
      </c>
      <c r="G33" s="5">
        <f>4789+9619</f>
        <v>14408</v>
      </c>
      <c r="H33" s="5">
        <v>4553</v>
      </c>
      <c r="I33" s="5">
        <f>56+3317</f>
        <v>3373</v>
      </c>
      <c r="J33" s="28">
        <v>2242</v>
      </c>
      <c r="K33" s="25">
        <v>822</v>
      </c>
    </row>
    <row r="34" spans="2:12" x14ac:dyDescent="0.2">
      <c r="B34" s="1" t="s">
        <v>184</v>
      </c>
      <c r="C34" s="32" t="s">
        <v>52</v>
      </c>
      <c r="D34" s="5">
        <f>388+426</f>
        <v>814</v>
      </c>
      <c r="E34" s="5">
        <f>67+142</f>
        <v>209</v>
      </c>
      <c r="F34" s="5">
        <f>11346+8143</f>
        <v>19489</v>
      </c>
      <c r="G34" s="5">
        <f>11028+3283</f>
        <v>14311</v>
      </c>
      <c r="H34" s="5">
        <f>4157+147</f>
        <v>4304</v>
      </c>
      <c r="I34" s="5">
        <f>1454+52</f>
        <v>1506</v>
      </c>
      <c r="J34" s="28">
        <v>3091</v>
      </c>
      <c r="K34" s="25">
        <v>1321</v>
      </c>
    </row>
    <row r="35" spans="2:12" x14ac:dyDescent="0.2">
      <c r="B35" s="1" t="s">
        <v>185</v>
      </c>
      <c r="C35" s="32" t="s">
        <v>201</v>
      </c>
      <c r="D35" s="5">
        <f>343+342</f>
        <v>685</v>
      </c>
      <c r="E35" s="5">
        <f>35+5</f>
        <v>40</v>
      </c>
      <c r="F35" s="5">
        <f>11043+6637</f>
        <v>17680</v>
      </c>
      <c r="G35" s="5">
        <f>9727+2919</f>
        <v>12646</v>
      </c>
      <c r="H35" s="5">
        <f>4058+113</f>
        <v>4171</v>
      </c>
      <c r="I35" s="5">
        <f>1753+186</f>
        <v>1939</v>
      </c>
      <c r="J35" s="28">
        <v>3130</v>
      </c>
      <c r="K35" s="25">
        <v>756</v>
      </c>
    </row>
    <row r="36" spans="2:12" x14ac:dyDescent="0.2">
      <c r="B36" s="4" t="s">
        <v>202</v>
      </c>
      <c r="C36" s="38" t="s">
        <v>52</v>
      </c>
      <c r="D36" s="26">
        <f>172+360</f>
        <v>532</v>
      </c>
      <c r="E36" s="26">
        <f>590+22</f>
        <v>612</v>
      </c>
      <c r="F36" s="26">
        <f>9967+6214</f>
        <v>16181</v>
      </c>
      <c r="G36" s="26">
        <f>9278+3340</f>
        <v>12618</v>
      </c>
      <c r="H36" s="26">
        <f>6931+0</f>
        <v>6931</v>
      </c>
      <c r="I36" s="26">
        <f>1747+278</f>
        <v>2025</v>
      </c>
      <c r="J36" s="30">
        <v>3278</v>
      </c>
      <c r="K36" s="39">
        <v>581</v>
      </c>
    </row>
    <row r="37" spans="2:12" ht="18" thickBot="1" x14ac:dyDescent="0.25">
      <c r="B37" s="6"/>
      <c r="C37" s="23"/>
      <c r="D37" s="6"/>
      <c r="E37" s="6"/>
      <c r="F37" s="6"/>
      <c r="G37" s="6"/>
      <c r="H37" s="6"/>
      <c r="I37" s="6"/>
      <c r="J37" s="23"/>
      <c r="K37" s="6"/>
    </row>
    <row r="38" spans="2:12" x14ac:dyDescent="0.2">
      <c r="C38" s="14"/>
      <c r="D38" s="31" t="s">
        <v>203</v>
      </c>
      <c r="E38" s="12"/>
      <c r="F38" s="12"/>
      <c r="G38" s="12"/>
      <c r="H38" s="12"/>
      <c r="I38" s="14"/>
      <c r="J38" s="31" t="s">
        <v>204</v>
      </c>
      <c r="K38" s="12"/>
      <c r="L38" s="3"/>
    </row>
    <row r="39" spans="2:12" x14ac:dyDescent="0.2">
      <c r="C39" s="29" t="s">
        <v>205</v>
      </c>
      <c r="D39" s="12"/>
      <c r="E39" s="14"/>
      <c r="F39" s="31" t="s">
        <v>206</v>
      </c>
      <c r="G39" s="12"/>
      <c r="H39" s="12"/>
      <c r="I39" s="13" t="s">
        <v>207</v>
      </c>
      <c r="J39" s="10"/>
      <c r="K39" s="13" t="s">
        <v>208</v>
      </c>
      <c r="L39" s="3"/>
    </row>
    <row r="40" spans="2:12" x14ac:dyDescent="0.2">
      <c r="C40" s="13" t="s">
        <v>209</v>
      </c>
      <c r="D40" s="13" t="s">
        <v>210</v>
      </c>
      <c r="E40" s="13" t="s">
        <v>211</v>
      </c>
      <c r="F40" s="13" t="s">
        <v>194</v>
      </c>
      <c r="G40" s="13" t="s">
        <v>194</v>
      </c>
      <c r="H40" s="13" t="s">
        <v>212</v>
      </c>
      <c r="I40" s="16" t="s">
        <v>213</v>
      </c>
      <c r="J40" s="16" t="s">
        <v>214</v>
      </c>
      <c r="K40" s="16" t="s">
        <v>215</v>
      </c>
      <c r="L40" s="3"/>
    </row>
    <row r="41" spans="2:12" x14ac:dyDescent="0.2">
      <c r="B41" s="12"/>
      <c r="C41" s="17" t="s">
        <v>216</v>
      </c>
      <c r="D41" s="17" t="s">
        <v>216</v>
      </c>
      <c r="E41" s="17" t="s">
        <v>196</v>
      </c>
      <c r="F41" s="17" t="s">
        <v>217</v>
      </c>
      <c r="G41" s="17" t="s">
        <v>218</v>
      </c>
      <c r="H41" s="17" t="s">
        <v>219</v>
      </c>
      <c r="I41" s="17" t="s">
        <v>220</v>
      </c>
      <c r="J41" s="17" t="s">
        <v>221</v>
      </c>
      <c r="K41" s="17" t="s">
        <v>222</v>
      </c>
      <c r="L41" s="3"/>
    </row>
    <row r="42" spans="2:12" x14ac:dyDescent="0.2">
      <c r="C42" s="10"/>
      <c r="F42" s="3"/>
      <c r="I42" s="10"/>
      <c r="K42" s="3"/>
      <c r="L42" s="3"/>
    </row>
    <row r="43" spans="2:12" x14ac:dyDescent="0.2">
      <c r="B43" s="1" t="s">
        <v>179</v>
      </c>
      <c r="C43" s="28">
        <v>31548</v>
      </c>
      <c r="D43" s="5">
        <v>30403</v>
      </c>
      <c r="E43" s="5">
        <v>6732</v>
      </c>
      <c r="F43" s="25">
        <v>5771</v>
      </c>
      <c r="G43" s="5">
        <v>717</v>
      </c>
      <c r="H43" s="5">
        <v>236</v>
      </c>
      <c r="I43" s="28">
        <v>55844</v>
      </c>
      <c r="J43" s="5">
        <v>25748</v>
      </c>
      <c r="K43" s="25">
        <v>231076</v>
      </c>
      <c r="L43" s="3"/>
    </row>
    <row r="44" spans="2:12" x14ac:dyDescent="0.2">
      <c r="B44" s="1" t="s">
        <v>180</v>
      </c>
      <c r="C44" s="28">
        <v>55488</v>
      </c>
      <c r="D44" s="5">
        <v>41248</v>
      </c>
      <c r="E44" s="5">
        <v>6917</v>
      </c>
      <c r="F44" s="25">
        <v>4511</v>
      </c>
      <c r="G44" s="5">
        <v>558</v>
      </c>
      <c r="H44" s="5">
        <v>296</v>
      </c>
      <c r="I44" s="28">
        <v>59377</v>
      </c>
      <c r="J44" s="5">
        <v>26590</v>
      </c>
      <c r="K44" s="25">
        <v>160398</v>
      </c>
      <c r="L44" s="3"/>
    </row>
    <row r="45" spans="2:12" x14ac:dyDescent="0.2">
      <c r="B45" s="1" t="s">
        <v>181</v>
      </c>
      <c r="C45" s="28">
        <v>30714</v>
      </c>
      <c r="D45" s="5">
        <v>28980</v>
      </c>
      <c r="E45" s="5">
        <v>3556</v>
      </c>
      <c r="F45" s="25">
        <v>4040</v>
      </c>
      <c r="G45" s="5">
        <v>428</v>
      </c>
      <c r="H45" s="5">
        <v>68</v>
      </c>
      <c r="I45" s="28">
        <v>45620</v>
      </c>
      <c r="J45" s="5">
        <v>18713</v>
      </c>
      <c r="K45" s="25">
        <v>168678</v>
      </c>
      <c r="L45" s="3"/>
    </row>
    <row r="46" spans="2:12" x14ac:dyDescent="0.2">
      <c r="C46" s="10"/>
      <c r="F46" s="3"/>
      <c r="I46" s="10"/>
      <c r="K46" s="3"/>
      <c r="L46" s="3"/>
    </row>
    <row r="47" spans="2:12" x14ac:dyDescent="0.2">
      <c r="B47" s="1" t="s">
        <v>182</v>
      </c>
      <c r="C47" s="28">
        <v>34220</v>
      </c>
      <c r="D47" s="5">
        <v>26531</v>
      </c>
      <c r="E47" s="5">
        <v>2787</v>
      </c>
      <c r="F47" s="25">
        <v>4016</v>
      </c>
      <c r="G47" s="5">
        <v>376</v>
      </c>
      <c r="H47" s="5">
        <v>155</v>
      </c>
      <c r="I47" s="28">
        <v>44634</v>
      </c>
      <c r="J47" s="5">
        <v>17561</v>
      </c>
      <c r="K47" s="25">
        <f>148228+7827</f>
        <v>156055</v>
      </c>
      <c r="L47" s="3"/>
    </row>
    <row r="48" spans="2:12" x14ac:dyDescent="0.2">
      <c r="B48" s="1" t="s">
        <v>183</v>
      </c>
      <c r="C48" s="28">
        <v>31739</v>
      </c>
      <c r="D48" s="5">
        <v>24088</v>
      </c>
      <c r="E48" s="5">
        <v>2289</v>
      </c>
      <c r="F48" s="25">
        <v>3274</v>
      </c>
      <c r="G48" s="5">
        <v>365</v>
      </c>
      <c r="H48" s="5">
        <v>25</v>
      </c>
      <c r="I48" s="28">
        <v>42066</v>
      </c>
      <c r="J48" s="5">
        <v>16697</v>
      </c>
      <c r="K48" s="25">
        <f>139565+18528</f>
        <v>158093</v>
      </c>
      <c r="L48" s="3"/>
    </row>
    <row r="49" spans="1:12" x14ac:dyDescent="0.2">
      <c r="B49" s="1" t="s">
        <v>184</v>
      </c>
      <c r="C49" s="28">
        <v>31345</v>
      </c>
      <c r="D49" s="5">
        <v>24975</v>
      </c>
      <c r="E49" s="5">
        <v>3435</v>
      </c>
      <c r="F49" s="25">
        <v>2995</v>
      </c>
      <c r="G49" s="5">
        <v>410</v>
      </c>
      <c r="H49" s="5">
        <v>215</v>
      </c>
      <c r="I49" s="28">
        <v>41740</v>
      </c>
      <c r="J49" s="5">
        <v>16688</v>
      </c>
      <c r="K49" s="25">
        <f>148597+25590</f>
        <v>174187</v>
      </c>
      <c r="L49" s="3"/>
    </row>
    <row r="50" spans="1:12" x14ac:dyDescent="0.2">
      <c r="B50" s="1" t="s">
        <v>185</v>
      </c>
      <c r="C50" s="28">
        <v>28126</v>
      </c>
      <c r="D50" s="5">
        <v>23290</v>
      </c>
      <c r="E50" s="5">
        <v>2562</v>
      </c>
      <c r="F50" s="25">
        <v>2137</v>
      </c>
      <c r="G50" s="5">
        <v>334</v>
      </c>
      <c r="H50" s="5">
        <v>161</v>
      </c>
      <c r="I50" s="28">
        <v>42187</v>
      </c>
      <c r="J50" s="5">
        <v>23260</v>
      </c>
      <c r="K50" s="25">
        <f>116644+28258</f>
        <v>144902</v>
      </c>
      <c r="L50" s="3"/>
    </row>
    <row r="51" spans="1:12" x14ac:dyDescent="0.2">
      <c r="B51" s="4" t="s">
        <v>223</v>
      </c>
      <c r="C51" s="30">
        <v>30876</v>
      </c>
      <c r="D51" s="26">
        <v>26205</v>
      </c>
      <c r="E51" s="26">
        <v>2343</v>
      </c>
      <c r="F51" s="39">
        <v>3139</v>
      </c>
      <c r="G51" s="26">
        <v>353</v>
      </c>
      <c r="H51" s="26">
        <v>303</v>
      </c>
      <c r="I51" s="30">
        <v>45060</v>
      </c>
      <c r="J51" s="26">
        <v>23003</v>
      </c>
      <c r="K51" s="39">
        <f>127505+33094</f>
        <v>160599</v>
      </c>
      <c r="L51" s="3"/>
    </row>
    <row r="52" spans="1:12" ht="18" thickBot="1" x14ac:dyDescent="0.25">
      <c r="B52" s="6"/>
      <c r="C52" s="23"/>
      <c r="D52" s="6"/>
      <c r="E52" s="6"/>
      <c r="F52" s="6"/>
      <c r="G52" s="6"/>
      <c r="H52" s="6"/>
      <c r="I52" s="23"/>
      <c r="J52" s="6"/>
      <c r="K52" s="6"/>
      <c r="L52" s="3"/>
    </row>
    <row r="53" spans="1:12" x14ac:dyDescent="0.2">
      <c r="C53" s="24" t="s">
        <v>55</v>
      </c>
      <c r="D53" s="3"/>
      <c r="E53" s="3"/>
      <c r="G53" s="1" t="s">
        <v>224</v>
      </c>
      <c r="K53" s="3"/>
    </row>
    <row r="54" spans="1:12" x14ac:dyDescent="0.2">
      <c r="A54" s="1"/>
      <c r="F54" s="3"/>
      <c r="K54" s="3"/>
    </row>
    <row r="55" spans="1:12" x14ac:dyDescent="0.2">
      <c r="F55" s="3"/>
    </row>
    <row r="56" spans="1:12" x14ac:dyDescent="0.2">
      <c r="F56" s="3"/>
    </row>
    <row r="57" spans="1:12" x14ac:dyDescent="0.2">
      <c r="F57" s="3"/>
    </row>
    <row r="58" spans="1:12" x14ac:dyDescent="0.2">
      <c r="F58" s="3"/>
    </row>
    <row r="59" spans="1:12" x14ac:dyDescent="0.2">
      <c r="F59" s="3"/>
    </row>
    <row r="60" spans="1:12" x14ac:dyDescent="0.2">
      <c r="F60" s="3"/>
    </row>
    <row r="61" spans="1:12" x14ac:dyDescent="0.2">
      <c r="B61" s="3"/>
      <c r="C61" s="3"/>
      <c r="D61" s="3"/>
      <c r="E61" s="3"/>
      <c r="F61" s="3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5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18.375" style="2" customWidth="1"/>
    <col min="4" max="4" width="14.625" style="2" customWidth="1"/>
    <col min="5" max="7" width="13.375" style="2"/>
    <col min="8" max="8" width="14.625" style="2" customWidth="1"/>
    <col min="9" max="256" width="13.375" style="2"/>
    <col min="257" max="257" width="13.375" style="2" customWidth="1"/>
    <col min="258" max="258" width="2.125" style="2" customWidth="1"/>
    <col min="259" max="259" width="18.375" style="2" customWidth="1"/>
    <col min="260" max="260" width="14.625" style="2" customWidth="1"/>
    <col min="261" max="263" width="13.375" style="2"/>
    <col min="264" max="264" width="14.625" style="2" customWidth="1"/>
    <col min="265" max="512" width="13.375" style="2"/>
    <col min="513" max="513" width="13.375" style="2" customWidth="1"/>
    <col min="514" max="514" width="2.125" style="2" customWidth="1"/>
    <col min="515" max="515" width="18.375" style="2" customWidth="1"/>
    <col min="516" max="516" width="14.625" style="2" customWidth="1"/>
    <col min="517" max="519" width="13.375" style="2"/>
    <col min="520" max="520" width="14.625" style="2" customWidth="1"/>
    <col min="521" max="768" width="13.375" style="2"/>
    <col min="769" max="769" width="13.375" style="2" customWidth="1"/>
    <col min="770" max="770" width="2.125" style="2" customWidth="1"/>
    <col min="771" max="771" width="18.375" style="2" customWidth="1"/>
    <col min="772" max="772" width="14.625" style="2" customWidth="1"/>
    <col min="773" max="775" width="13.375" style="2"/>
    <col min="776" max="776" width="14.625" style="2" customWidth="1"/>
    <col min="777" max="1024" width="13.375" style="2"/>
    <col min="1025" max="1025" width="13.375" style="2" customWidth="1"/>
    <col min="1026" max="1026" width="2.125" style="2" customWidth="1"/>
    <col min="1027" max="1027" width="18.375" style="2" customWidth="1"/>
    <col min="1028" max="1028" width="14.625" style="2" customWidth="1"/>
    <col min="1029" max="1031" width="13.375" style="2"/>
    <col min="1032" max="1032" width="14.625" style="2" customWidth="1"/>
    <col min="1033" max="1280" width="13.375" style="2"/>
    <col min="1281" max="1281" width="13.375" style="2" customWidth="1"/>
    <col min="1282" max="1282" width="2.125" style="2" customWidth="1"/>
    <col min="1283" max="1283" width="18.375" style="2" customWidth="1"/>
    <col min="1284" max="1284" width="14.625" style="2" customWidth="1"/>
    <col min="1285" max="1287" width="13.375" style="2"/>
    <col min="1288" max="1288" width="14.625" style="2" customWidth="1"/>
    <col min="1289" max="1536" width="13.375" style="2"/>
    <col min="1537" max="1537" width="13.375" style="2" customWidth="1"/>
    <col min="1538" max="1538" width="2.125" style="2" customWidth="1"/>
    <col min="1539" max="1539" width="18.375" style="2" customWidth="1"/>
    <col min="1540" max="1540" width="14.625" style="2" customWidth="1"/>
    <col min="1541" max="1543" width="13.375" style="2"/>
    <col min="1544" max="1544" width="14.625" style="2" customWidth="1"/>
    <col min="1545" max="1792" width="13.375" style="2"/>
    <col min="1793" max="1793" width="13.375" style="2" customWidth="1"/>
    <col min="1794" max="1794" width="2.125" style="2" customWidth="1"/>
    <col min="1795" max="1795" width="18.375" style="2" customWidth="1"/>
    <col min="1796" max="1796" width="14.625" style="2" customWidth="1"/>
    <col min="1797" max="1799" width="13.375" style="2"/>
    <col min="1800" max="1800" width="14.625" style="2" customWidth="1"/>
    <col min="1801" max="2048" width="13.375" style="2"/>
    <col min="2049" max="2049" width="13.375" style="2" customWidth="1"/>
    <col min="2050" max="2050" width="2.125" style="2" customWidth="1"/>
    <col min="2051" max="2051" width="18.375" style="2" customWidth="1"/>
    <col min="2052" max="2052" width="14.625" style="2" customWidth="1"/>
    <col min="2053" max="2055" width="13.375" style="2"/>
    <col min="2056" max="2056" width="14.625" style="2" customWidth="1"/>
    <col min="2057" max="2304" width="13.375" style="2"/>
    <col min="2305" max="2305" width="13.375" style="2" customWidth="1"/>
    <col min="2306" max="2306" width="2.125" style="2" customWidth="1"/>
    <col min="2307" max="2307" width="18.375" style="2" customWidth="1"/>
    <col min="2308" max="2308" width="14.625" style="2" customWidth="1"/>
    <col min="2309" max="2311" width="13.375" style="2"/>
    <col min="2312" max="2312" width="14.625" style="2" customWidth="1"/>
    <col min="2313" max="2560" width="13.375" style="2"/>
    <col min="2561" max="2561" width="13.375" style="2" customWidth="1"/>
    <col min="2562" max="2562" width="2.125" style="2" customWidth="1"/>
    <col min="2563" max="2563" width="18.375" style="2" customWidth="1"/>
    <col min="2564" max="2564" width="14.625" style="2" customWidth="1"/>
    <col min="2565" max="2567" width="13.375" style="2"/>
    <col min="2568" max="2568" width="14.625" style="2" customWidth="1"/>
    <col min="2569" max="2816" width="13.375" style="2"/>
    <col min="2817" max="2817" width="13.375" style="2" customWidth="1"/>
    <col min="2818" max="2818" width="2.125" style="2" customWidth="1"/>
    <col min="2819" max="2819" width="18.375" style="2" customWidth="1"/>
    <col min="2820" max="2820" width="14.625" style="2" customWidth="1"/>
    <col min="2821" max="2823" width="13.375" style="2"/>
    <col min="2824" max="2824" width="14.625" style="2" customWidth="1"/>
    <col min="2825" max="3072" width="13.375" style="2"/>
    <col min="3073" max="3073" width="13.375" style="2" customWidth="1"/>
    <col min="3074" max="3074" width="2.125" style="2" customWidth="1"/>
    <col min="3075" max="3075" width="18.375" style="2" customWidth="1"/>
    <col min="3076" max="3076" width="14.625" style="2" customWidth="1"/>
    <col min="3077" max="3079" width="13.375" style="2"/>
    <col min="3080" max="3080" width="14.625" style="2" customWidth="1"/>
    <col min="3081" max="3328" width="13.375" style="2"/>
    <col min="3329" max="3329" width="13.375" style="2" customWidth="1"/>
    <col min="3330" max="3330" width="2.125" style="2" customWidth="1"/>
    <col min="3331" max="3331" width="18.375" style="2" customWidth="1"/>
    <col min="3332" max="3332" width="14.625" style="2" customWidth="1"/>
    <col min="3333" max="3335" width="13.375" style="2"/>
    <col min="3336" max="3336" width="14.625" style="2" customWidth="1"/>
    <col min="3337" max="3584" width="13.375" style="2"/>
    <col min="3585" max="3585" width="13.375" style="2" customWidth="1"/>
    <col min="3586" max="3586" width="2.125" style="2" customWidth="1"/>
    <col min="3587" max="3587" width="18.375" style="2" customWidth="1"/>
    <col min="3588" max="3588" width="14.625" style="2" customWidth="1"/>
    <col min="3589" max="3591" width="13.375" style="2"/>
    <col min="3592" max="3592" width="14.625" style="2" customWidth="1"/>
    <col min="3593" max="3840" width="13.375" style="2"/>
    <col min="3841" max="3841" width="13.375" style="2" customWidth="1"/>
    <col min="3842" max="3842" width="2.125" style="2" customWidth="1"/>
    <col min="3843" max="3843" width="18.375" style="2" customWidth="1"/>
    <col min="3844" max="3844" width="14.625" style="2" customWidth="1"/>
    <col min="3845" max="3847" width="13.375" style="2"/>
    <col min="3848" max="3848" width="14.625" style="2" customWidth="1"/>
    <col min="3849" max="4096" width="13.375" style="2"/>
    <col min="4097" max="4097" width="13.375" style="2" customWidth="1"/>
    <col min="4098" max="4098" width="2.125" style="2" customWidth="1"/>
    <col min="4099" max="4099" width="18.375" style="2" customWidth="1"/>
    <col min="4100" max="4100" width="14.625" style="2" customWidth="1"/>
    <col min="4101" max="4103" width="13.375" style="2"/>
    <col min="4104" max="4104" width="14.625" style="2" customWidth="1"/>
    <col min="4105" max="4352" width="13.375" style="2"/>
    <col min="4353" max="4353" width="13.375" style="2" customWidth="1"/>
    <col min="4354" max="4354" width="2.125" style="2" customWidth="1"/>
    <col min="4355" max="4355" width="18.375" style="2" customWidth="1"/>
    <col min="4356" max="4356" width="14.625" style="2" customWidth="1"/>
    <col min="4357" max="4359" width="13.375" style="2"/>
    <col min="4360" max="4360" width="14.625" style="2" customWidth="1"/>
    <col min="4361" max="4608" width="13.375" style="2"/>
    <col min="4609" max="4609" width="13.375" style="2" customWidth="1"/>
    <col min="4610" max="4610" width="2.125" style="2" customWidth="1"/>
    <col min="4611" max="4611" width="18.375" style="2" customWidth="1"/>
    <col min="4612" max="4612" width="14.625" style="2" customWidth="1"/>
    <col min="4613" max="4615" width="13.375" style="2"/>
    <col min="4616" max="4616" width="14.625" style="2" customWidth="1"/>
    <col min="4617" max="4864" width="13.375" style="2"/>
    <col min="4865" max="4865" width="13.375" style="2" customWidth="1"/>
    <col min="4866" max="4866" width="2.125" style="2" customWidth="1"/>
    <col min="4867" max="4867" width="18.375" style="2" customWidth="1"/>
    <col min="4868" max="4868" width="14.625" style="2" customWidth="1"/>
    <col min="4869" max="4871" width="13.375" style="2"/>
    <col min="4872" max="4872" width="14.625" style="2" customWidth="1"/>
    <col min="4873" max="5120" width="13.375" style="2"/>
    <col min="5121" max="5121" width="13.375" style="2" customWidth="1"/>
    <col min="5122" max="5122" width="2.125" style="2" customWidth="1"/>
    <col min="5123" max="5123" width="18.375" style="2" customWidth="1"/>
    <col min="5124" max="5124" width="14.625" style="2" customWidth="1"/>
    <col min="5125" max="5127" width="13.375" style="2"/>
    <col min="5128" max="5128" width="14.625" style="2" customWidth="1"/>
    <col min="5129" max="5376" width="13.375" style="2"/>
    <col min="5377" max="5377" width="13.375" style="2" customWidth="1"/>
    <col min="5378" max="5378" width="2.125" style="2" customWidth="1"/>
    <col min="5379" max="5379" width="18.375" style="2" customWidth="1"/>
    <col min="5380" max="5380" width="14.625" style="2" customWidth="1"/>
    <col min="5381" max="5383" width="13.375" style="2"/>
    <col min="5384" max="5384" width="14.625" style="2" customWidth="1"/>
    <col min="5385" max="5632" width="13.375" style="2"/>
    <col min="5633" max="5633" width="13.375" style="2" customWidth="1"/>
    <col min="5634" max="5634" width="2.125" style="2" customWidth="1"/>
    <col min="5635" max="5635" width="18.375" style="2" customWidth="1"/>
    <col min="5636" max="5636" width="14.625" style="2" customWidth="1"/>
    <col min="5637" max="5639" width="13.375" style="2"/>
    <col min="5640" max="5640" width="14.625" style="2" customWidth="1"/>
    <col min="5641" max="5888" width="13.375" style="2"/>
    <col min="5889" max="5889" width="13.375" style="2" customWidth="1"/>
    <col min="5890" max="5890" width="2.125" style="2" customWidth="1"/>
    <col min="5891" max="5891" width="18.375" style="2" customWidth="1"/>
    <col min="5892" max="5892" width="14.625" style="2" customWidth="1"/>
    <col min="5893" max="5895" width="13.375" style="2"/>
    <col min="5896" max="5896" width="14.625" style="2" customWidth="1"/>
    <col min="5897" max="6144" width="13.375" style="2"/>
    <col min="6145" max="6145" width="13.375" style="2" customWidth="1"/>
    <col min="6146" max="6146" width="2.125" style="2" customWidth="1"/>
    <col min="6147" max="6147" width="18.375" style="2" customWidth="1"/>
    <col min="6148" max="6148" width="14.625" style="2" customWidth="1"/>
    <col min="6149" max="6151" width="13.375" style="2"/>
    <col min="6152" max="6152" width="14.625" style="2" customWidth="1"/>
    <col min="6153" max="6400" width="13.375" style="2"/>
    <col min="6401" max="6401" width="13.375" style="2" customWidth="1"/>
    <col min="6402" max="6402" width="2.125" style="2" customWidth="1"/>
    <col min="6403" max="6403" width="18.375" style="2" customWidth="1"/>
    <col min="6404" max="6404" width="14.625" style="2" customWidth="1"/>
    <col min="6405" max="6407" width="13.375" style="2"/>
    <col min="6408" max="6408" width="14.625" style="2" customWidth="1"/>
    <col min="6409" max="6656" width="13.375" style="2"/>
    <col min="6657" max="6657" width="13.375" style="2" customWidth="1"/>
    <col min="6658" max="6658" width="2.125" style="2" customWidth="1"/>
    <col min="6659" max="6659" width="18.375" style="2" customWidth="1"/>
    <col min="6660" max="6660" width="14.625" style="2" customWidth="1"/>
    <col min="6661" max="6663" width="13.375" style="2"/>
    <col min="6664" max="6664" width="14.625" style="2" customWidth="1"/>
    <col min="6665" max="6912" width="13.375" style="2"/>
    <col min="6913" max="6913" width="13.375" style="2" customWidth="1"/>
    <col min="6914" max="6914" width="2.125" style="2" customWidth="1"/>
    <col min="6915" max="6915" width="18.375" style="2" customWidth="1"/>
    <col min="6916" max="6916" width="14.625" style="2" customWidth="1"/>
    <col min="6917" max="6919" width="13.375" style="2"/>
    <col min="6920" max="6920" width="14.625" style="2" customWidth="1"/>
    <col min="6921" max="7168" width="13.375" style="2"/>
    <col min="7169" max="7169" width="13.375" style="2" customWidth="1"/>
    <col min="7170" max="7170" width="2.125" style="2" customWidth="1"/>
    <col min="7171" max="7171" width="18.375" style="2" customWidth="1"/>
    <col min="7172" max="7172" width="14.625" style="2" customWidth="1"/>
    <col min="7173" max="7175" width="13.375" style="2"/>
    <col min="7176" max="7176" width="14.625" style="2" customWidth="1"/>
    <col min="7177" max="7424" width="13.375" style="2"/>
    <col min="7425" max="7425" width="13.375" style="2" customWidth="1"/>
    <col min="7426" max="7426" width="2.125" style="2" customWidth="1"/>
    <col min="7427" max="7427" width="18.375" style="2" customWidth="1"/>
    <col min="7428" max="7428" width="14.625" style="2" customWidth="1"/>
    <col min="7429" max="7431" width="13.375" style="2"/>
    <col min="7432" max="7432" width="14.625" style="2" customWidth="1"/>
    <col min="7433" max="7680" width="13.375" style="2"/>
    <col min="7681" max="7681" width="13.375" style="2" customWidth="1"/>
    <col min="7682" max="7682" width="2.125" style="2" customWidth="1"/>
    <col min="7683" max="7683" width="18.375" style="2" customWidth="1"/>
    <col min="7684" max="7684" width="14.625" style="2" customWidth="1"/>
    <col min="7685" max="7687" width="13.375" style="2"/>
    <col min="7688" max="7688" width="14.625" style="2" customWidth="1"/>
    <col min="7689" max="7936" width="13.375" style="2"/>
    <col min="7937" max="7937" width="13.375" style="2" customWidth="1"/>
    <col min="7938" max="7938" width="2.125" style="2" customWidth="1"/>
    <col min="7939" max="7939" width="18.375" style="2" customWidth="1"/>
    <col min="7940" max="7940" width="14.625" style="2" customWidth="1"/>
    <col min="7941" max="7943" width="13.375" style="2"/>
    <col min="7944" max="7944" width="14.625" style="2" customWidth="1"/>
    <col min="7945" max="8192" width="13.375" style="2"/>
    <col min="8193" max="8193" width="13.375" style="2" customWidth="1"/>
    <col min="8194" max="8194" width="2.125" style="2" customWidth="1"/>
    <col min="8195" max="8195" width="18.375" style="2" customWidth="1"/>
    <col min="8196" max="8196" width="14.625" style="2" customWidth="1"/>
    <col min="8197" max="8199" width="13.375" style="2"/>
    <col min="8200" max="8200" width="14.625" style="2" customWidth="1"/>
    <col min="8201" max="8448" width="13.375" style="2"/>
    <col min="8449" max="8449" width="13.375" style="2" customWidth="1"/>
    <col min="8450" max="8450" width="2.125" style="2" customWidth="1"/>
    <col min="8451" max="8451" width="18.375" style="2" customWidth="1"/>
    <col min="8452" max="8452" width="14.625" style="2" customWidth="1"/>
    <col min="8453" max="8455" width="13.375" style="2"/>
    <col min="8456" max="8456" width="14.625" style="2" customWidth="1"/>
    <col min="8457" max="8704" width="13.375" style="2"/>
    <col min="8705" max="8705" width="13.375" style="2" customWidth="1"/>
    <col min="8706" max="8706" width="2.125" style="2" customWidth="1"/>
    <col min="8707" max="8707" width="18.375" style="2" customWidth="1"/>
    <col min="8708" max="8708" width="14.625" style="2" customWidth="1"/>
    <col min="8709" max="8711" width="13.375" style="2"/>
    <col min="8712" max="8712" width="14.625" style="2" customWidth="1"/>
    <col min="8713" max="8960" width="13.375" style="2"/>
    <col min="8961" max="8961" width="13.375" style="2" customWidth="1"/>
    <col min="8962" max="8962" width="2.125" style="2" customWidth="1"/>
    <col min="8963" max="8963" width="18.375" style="2" customWidth="1"/>
    <col min="8964" max="8964" width="14.625" style="2" customWidth="1"/>
    <col min="8965" max="8967" width="13.375" style="2"/>
    <col min="8968" max="8968" width="14.625" style="2" customWidth="1"/>
    <col min="8969" max="9216" width="13.375" style="2"/>
    <col min="9217" max="9217" width="13.375" style="2" customWidth="1"/>
    <col min="9218" max="9218" width="2.125" style="2" customWidth="1"/>
    <col min="9219" max="9219" width="18.375" style="2" customWidth="1"/>
    <col min="9220" max="9220" width="14.625" style="2" customWidth="1"/>
    <col min="9221" max="9223" width="13.375" style="2"/>
    <col min="9224" max="9224" width="14.625" style="2" customWidth="1"/>
    <col min="9225" max="9472" width="13.375" style="2"/>
    <col min="9473" max="9473" width="13.375" style="2" customWidth="1"/>
    <col min="9474" max="9474" width="2.125" style="2" customWidth="1"/>
    <col min="9475" max="9475" width="18.375" style="2" customWidth="1"/>
    <col min="9476" max="9476" width="14.625" style="2" customWidth="1"/>
    <col min="9477" max="9479" width="13.375" style="2"/>
    <col min="9480" max="9480" width="14.625" style="2" customWidth="1"/>
    <col min="9481" max="9728" width="13.375" style="2"/>
    <col min="9729" max="9729" width="13.375" style="2" customWidth="1"/>
    <col min="9730" max="9730" width="2.125" style="2" customWidth="1"/>
    <col min="9731" max="9731" width="18.375" style="2" customWidth="1"/>
    <col min="9732" max="9732" width="14.625" style="2" customWidth="1"/>
    <col min="9733" max="9735" width="13.375" style="2"/>
    <col min="9736" max="9736" width="14.625" style="2" customWidth="1"/>
    <col min="9737" max="9984" width="13.375" style="2"/>
    <col min="9985" max="9985" width="13.375" style="2" customWidth="1"/>
    <col min="9986" max="9986" width="2.125" style="2" customWidth="1"/>
    <col min="9987" max="9987" width="18.375" style="2" customWidth="1"/>
    <col min="9988" max="9988" width="14.625" style="2" customWidth="1"/>
    <col min="9989" max="9991" width="13.375" style="2"/>
    <col min="9992" max="9992" width="14.625" style="2" customWidth="1"/>
    <col min="9993" max="10240" width="13.375" style="2"/>
    <col min="10241" max="10241" width="13.375" style="2" customWidth="1"/>
    <col min="10242" max="10242" width="2.125" style="2" customWidth="1"/>
    <col min="10243" max="10243" width="18.375" style="2" customWidth="1"/>
    <col min="10244" max="10244" width="14.625" style="2" customWidth="1"/>
    <col min="10245" max="10247" width="13.375" style="2"/>
    <col min="10248" max="10248" width="14.625" style="2" customWidth="1"/>
    <col min="10249" max="10496" width="13.375" style="2"/>
    <col min="10497" max="10497" width="13.375" style="2" customWidth="1"/>
    <col min="10498" max="10498" width="2.125" style="2" customWidth="1"/>
    <col min="10499" max="10499" width="18.375" style="2" customWidth="1"/>
    <col min="10500" max="10500" width="14.625" style="2" customWidth="1"/>
    <col min="10501" max="10503" width="13.375" style="2"/>
    <col min="10504" max="10504" width="14.625" style="2" customWidth="1"/>
    <col min="10505" max="10752" width="13.375" style="2"/>
    <col min="10753" max="10753" width="13.375" style="2" customWidth="1"/>
    <col min="10754" max="10754" width="2.125" style="2" customWidth="1"/>
    <col min="10755" max="10755" width="18.375" style="2" customWidth="1"/>
    <col min="10756" max="10756" width="14.625" style="2" customWidth="1"/>
    <col min="10757" max="10759" width="13.375" style="2"/>
    <col min="10760" max="10760" width="14.625" style="2" customWidth="1"/>
    <col min="10761" max="11008" width="13.375" style="2"/>
    <col min="11009" max="11009" width="13.375" style="2" customWidth="1"/>
    <col min="11010" max="11010" width="2.125" style="2" customWidth="1"/>
    <col min="11011" max="11011" width="18.375" style="2" customWidth="1"/>
    <col min="11012" max="11012" width="14.625" style="2" customWidth="1"/>
    <col min="11013" max="11015" width="13.375" style="2"/>
    <col min="11016" max="11016" width="14.625" style="2" customWidth="1"/>
    <col min="11017" max="11264" width="13.375" style="2"/>
    <col min="11265" max="11265" width="13.375" style="2" customWidth="1"/>
    <col min="11266" max="11266" width="2.125" style="2" customWidth="1"/>
    <col min="11267" max="11267" width="18.375" style="2" customWidth="1"/>
    <col min="11268" max="11268" width="14.625" style="2" customWidth="1"/>
    <col min="11269" max="11271" width="13.375" style="2"/>
    <col min="11272" max="11272" width="14.625" style="2" customWidth="1"/>
    <col min="11273" max="11520" width="13.375" style="2"/>
    <col min="11521" max="11521" width="13.375" style="2" customWidth="1"/>
    <col min="11522" max="11522" width="2.125" style="2" customWidth="1"/>
    <col min="11523" max="11523" width="18.375" style="2" customWidth="1"/>
    <col min="11524" max="11524" width="14.625" style="2" customWidth="1"/>
    <col min="11525" max="11527" width="13.375" style="2"/>
    <col min="11528" max="11528" width="14.625" style="2" customWidth="1"/>
    <col min="11529" max="11776" width="13.375" style="2"/>
    <col min="11777" max="11777" width="13.375" style="2" customWidth="1"/>
    <col min="11778" max="11778" width="2.125" style="2" customWidth="1"/>
    <col min="11779" max="11779" width="18.375" style="2" customWidth="1"/>
    <col min="11780" max="11780" width="14.625" style="2" customWidth="1"/>
    <col min="11781" max="11783" width="13.375" style="2"/>
    <col min="11784" max="11784" width="14.625" style="2" customWidth="1"/>
    <col min="11785" max="12032" width="13.375" style="2"/>
    <col min="12033" max="12033" width="13.375" style="2" customWidth="1"/>
    <col min="12034" max="12034" width="2.125" style="2" customWidth="1"/>
    <col min="12035" max="12035" width="18.375" style="2" customWidth="1"/>
    <col min="12036" max="12036" width="14.625" style="2" customWidth="1"/>
    <col min="12037" max="12039" width="13.375" style="2"/>
    <col min="12040" max="12040" width="14.625" style="2" customWidth="1"/>
    <col min="12041" max="12288" width="13.375" style="2"/>
    <col min="12289" max="12289" width="13.375" style="2" customWidth="1"/>
    <col min="12290" max="12290" width="2.125" style="2" customWidth="1"/>
    <col min="12291" max="12291" width="18.375" style="2" customWidth="1"/>
    <col min="12292" max="12292" width="14.625" style="2" customWidth="1"/>
    <col min="12293" max="12295" width="13.375" style="2"/>
    <col min="12296" max="12296" width="14.625" style="2" customWidth="1"/>
    <col min="12297" max="12544" width="13.375" style="2"/>
    <col min="12545" max="12545" width="13.375" style="2" customWidth="1"/>
    <col min="12546" max="12546" width="2.125" style="2" customWidth="1"/>
    <col min="12547" max="12547" width="18.375" style="2" customWidth="1"/>
    <col min="12548" max="12548" width="14.625" style="2" customWidth="1"/>
    <col min="12549" max="12551" width="13.375" style="2"/>
    <col min="12552" max="12552" width="14.625" style="2" customWidth="1"/>
    <col min="12553" max="12800" width="13.375" style="2"/>
    <col min="12801" max="12801" width="13.375" style="2" customWidth="1"/>
    <col min="12802" max="12802" width="2.125" style="2" customWidth="1"/>
    <col min="12803" max="12803" width="18.375" style="2" customWidth="1"/>
    <col min="12804" max="12804" width="14.625" style="2" customWidth="1"/>
    <col min="12805" max="12807" width="13.375" style="2"/>
    <col min="12808" max="12808" width="14.625" style="2" customWidth="1"/>
    <col min="12809" max="13056" width="13.375" style="2"/>
    <col min="13057" max="13057" width="13.375" style="2" customWidth="1"/>
    <col min="13058" max="13058" width="2.125" style="2" customWidth="1"/>
    <col min="13059" max="13059" width="18.375" style="2" customWidth="1"/>
    <col min="13060" max="13060" width="14.625" style="2" customWidth="1"/>
    <col min="13061" max="13063" width="13.375" style="2"/>
    <col min="13064" max="13064" width="14.625" style="2" customWidth="1"/>
    <col min="13065" max="13312" width="13.375" style="2"/>
    <col min="13313" max="13313" width="13.375" style="2" customWidth="1"/>
    <col min="13314" max="13314" width="2.125" style="2" customWidth="1"/>
    <col min="13315" max="13315" width="18.375" style="2" customWidth="1"/>
    <col min="13316" max="13316" width="14.625" style="2" customWidth="1"/>
    <col min="13317" max="13319" width="13.375" style="2"/>
    <col min="13320" max="13320" width="14.625" style="2" customWidth="1"/>
    <col min="13321" max="13568" width="13.375" style="2"/>
    <col min="13569" max="13569" width="13.375" style="2" customWidth="1"/>
    <col min="13570" max="13570" width="2.125" style="2" customWidth="1"/>
    <col min="13571" max="13571" width="18.375" style="2" customWidth="1"/>
    <col min="13572" max="13572" width="14.625" style="2" customWidth="1"/>
    <col min="13573" max="13575" width="13.375" style="2"/>
    <col min="13576" max="13576" width="14.625" style="2" customWidth="1"/>
    <col min="13577" max="13824" width="13.375" style="2"/>
    <col min="13825" max="13825" width="13.375" style="2" customWidth="1"/>
    <col min="13826" max="13826" width="2.125" style="2" customWidth="1"/>
    <col min="13827" max="13827" width="18.375" style="2" customWidth="1"/>
    <col min="13828" max="13828" width="14.625" style="2" customWidth="1"/>
    <col min="13829" max="13831" width="13.375" style="2"/>
    <col min="13832" max="13832" width="14.625" style="2" customWidth="1"/>
    <col min="13833" max="14080" width="13.375" style="2"/>
    <col min="14081" max="14081" width="13.375" style="2" customWidth="1"/>
    <col min="14082" max="14082" width="2.125" style="2" customWidth="1"/>
    <col min="14083" max="14083" width="18.375" style="2" customWidth="1"/>
    <col min="14084" max="14084" width="14.625" style="2" customWidth="1"/>
    <col min="14085" max="14087" width="13.375" style="2"/>
    <col min="14088" max="14088" width="14.625" style="2" customWidth="1"/>
    <col min="14089" max="14336" width="13.375" style="2"/>
    <col min="14337" max="14337" width="13.375" style="2" customWidth="1"/>
    <col min="14338" max="14338" width="2.125" style="2" customWidth="1"/>
    <col min="14339" max="14339" width="18.375" style="2" customWidth="1"/>
    <col min="14340" max="14340" width="14.625" style="2" customWidth="1"/>
    <col min="14341" max="14343" width="13.375" style="2"/>
    <col min="14344" max="14344" width="14.625" style="2" customWidth="1"/>
    <col min="14345" max="14592" width="13.375" style="2"/>
    <col min="14593" max="14593" width="13.375" style="2" customWidth="1"/>
    <col min="14594" max="14594" width="2.125" style="2" customWidth="1"/>
    <col min="14595" max="14595" width="18.375" style="2" customWidth="1"/>
    <col min="14596" max="14596" width="14.625" style="2" customWidth="1"/>
    <col min="14597" max="14599" width="13.375" style="2"/>
    <col min="14600" max="14600" width="14.625" style="2" customWidth="1"/>
    <col min="14601" max="14848" width="13.375" style="2"/>
    <col min="14849" max="14849" width="13.375" style="2" customWidth="1"/>
    <col min="14850" max="14850" width="2.125" style="2" customWidth="1"/>
    <col min="14851" max="14851" width="18.375" style="2" customWidth="1"/>
    <col min="14852" max="14852" width="14.625" style="2" customWidth="1"/>
    <col min="14853" max="14855" width="13.375" style="2"/>
    <col min="14856" max="14856" width="14.625" style="2" customWidth="1"/>
    <col min="14857" max="15104" width="13.375" style="2"/>
    <col min="15105" max="15105" width="13.375" style="2" customWidth="1"/>
    <col min="15106" max="15106" width="2.125" style="2" customWidth="1"/>
    <col min="15107" max="15107" width="18.375" style="2" customWidth="1"/>
    <col min="15108" max="15108" width="14.625" style="2" customWidth="1"/>
    <col min="15109" max="15111" width="13.375" style="2"/>
    <col min="15112" max="15112" width="14.625" style="2" customWidth="1"/>
    <col min="15113" max="15360" width="13.375" style="2"/>
    <col min="15361" max="15361" width="13.375" style="2" customWidth="1"/>
    <col min="15362" max="15362" width="2.125" style="2" customWidth="1"/>
    <col min="15363" max="15363" width="18.375" style="2" customWidth="1"/>
    <col min="15364" max="15364" width="14.625" style="2" customWidth="1"/>
    <col min="15365" max="15367" width="13.375" style="2"/>
    <col min="15368" max="15368" width="14.625" style="2" customWidth="1"/>
    <col min="15369" max="15616" width="13.375" style="2"/>
    <col min="15617" max="15617" width="13.375" style="2" customWidth="1"/>
    <col min="15618" max="15618" width="2.125" style="2" customWidth="1"/>
    <col min="15619" max="15619" width="18.375" style="2" customWidth="1"/>
    <col min="15620" max="15620" width="14.625" style="2" customWidth="1"/>
    <col min="15621" max="15623" width="13.375" style="2"/>
    <col min="15624" max="15624" width="14.625" style="2" customWidth="1"/>
    <col min="15625" max="15872" width="13.375" style="2"/>
    <col min="15873" max="15873" width="13.375" style="2" customWidth="1"/>
    <col min="15874" max="15874" width="2.125" style="2" customWidth="1"/>
    <col min="15875" max="15875" width="18.375" style="2" customWidth="1"/>
    <col min="15876" max="15876" width="14.625" style="2" customWidth="1"/>
    <col min="15877" max="15879" width="13.375" style="2"/>
    <col min="15880" max="15880" width="14.625" style="2" customWidth="1"/>
    <col min="15881" max="16128" width="13.375" style="2"/>
    <col min="16129" max="16129" width="13.375" style="2" customWidth="1"/>
    <col min="16130" max="16130" width="2.125" style="2" customWidth="1"/>
    <col min="16131" max="16131" width="18.375" style="2" customWidth="1"/>
    <col min="16132" max="16132" width="14.625" style="2" customWidth="1"/>
    <col min="16133" max="16135" width="13.375" style="2"/>
    <col min="16136" max="16136" width="14.625" style="2" customWidth="1"/>
    <col min="16137" max="16384" width="13.375" style="2"/>
  </cols>
  <sheetData>
    <row r="1" spans="1:12" x14ac:dyDescent="0.2">
      <c r="A1" s="1"/>
    </row>
    <row r="6" spans="1:12" x14ac:dyDescent="0.2">
      <c r="F6" s="4" t="s">
        <v>225</v>
      </c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7" t="s">
        <v>226</v>
      </c>
    </row>
    <row r="8" spans="1:12" x14ac:dyDescent="0.2">
      <c r="D8" s="14"/>
      <c r="E8" s="31" t="s">
        <v>227</v>
      </c>
      <c r="F8" s="12"/>
      <c r="G8" s="12"/>
      <c r="H8" s="14"/>
      <c r="I8" s="31" t="s">
        <v>228</v>
      </c>
      <c r="J8" s="12"/>
      <c r="K8" s="12"/>
    </row>
    <row r="9" spans="1:12" x14ac:dyDescent="0.2">
      <c r="C9" s="1" t="s">
        <v>229</v>
      </c>
      <c r="D9" s="16" t="s">
        <v>230</v>
      </c>
      <c r="E9" s="16" t="s">
        <v>231</v>
      </c>
      <c r="F9" s="16" t="s">
        <v>232</v>
      </c>
      <c r="G9" s="16" t="s">
        <v>233</v>
      </c>
      <c r="H9" s="16" t="s">
        <v>230</v>
      </c>
      <c r="I9" s="16" t="s">
        <v>231</v>
      </c>
      <c r="J9" s="16" t="s">
        <v>232</v>
      </c>
      <c r="K9" s="16" t="s">
        <v>233</v>
      </c>
    </row>
    <row r="10" spans="1:12" x14ac:dyDescent="0.2">
      <c r="B10" s="12"/>
      <c r="C10" s="12"/>
      <c r="D10" s="29" t="s">
        <v>234</v>
      </c>
      <c r="E10" s="29" t="s">
        <v>235</v>
      </c>
      <c r="F10" s="29" t="s">
        <v>236</v>
      </c>
      <c r="G10" s="29" t="s">
        <v>237</v>
      </c>
      <c r="H10" s="29" t="s">
        <v>234</v>
      </c>
      <c r="I10" s="29" t="s">
        <v>235</v>
      </c>
      <c r="J10" s="29" t="s">
        <v>236</v>
      </c>
      <c r="K10" s="29" t="s">
        <v>237</v>
      </c>
      <c r="L10" s="3"/>
    </row>
    <row r="11" spans="1:12" x14ac:dyDescent="0.2">
      <c r="D11" s="10"/>
    </row>
    <row r="12" spans="1:12" x14ac:dyDescent="0.2">
      <c r="C12" s="40" t="s">
        <v>238</v>
      </c>
      <c r="D12" s="20">
        <f>SUM(D14:D67)</f>
        <v>64030</v>
      </c>
      <c r="E12" s="21">
        <f>SUM(E14:E67)</f>
        <v>61733</v>
      </c>
      <c r="F12" s="21">
        <f>SUM(F14:F67)</f>
        <v>61432</v>
      </c>
      <c r="G12" s="22" t="s">
        <v>139</v>
      </c>
      <c r="H12" s="21">
        <f>SUM(H14:H67)</f>
        <v>55042</v>
      </c>
      <c r="I12" s="21">
        <f>SUM(I14:I67)</f>
        <v>52262</v>
      </c>
      <c r="J12" s="21">
        <f>SUM(J14:J67)</f>
        <v>51498</v>
      </c>
      <c r="K12" s="21">
        <f>SUM(K14:K67)</f>
        <v>52008</v>
      </c>
    </row>
    <row r="13" spans="1:12" x14ac:dyDescent="0.2">
      <c r="D13" s="28"/>
      <c r="H13" s="5"/>
    </row>
    <row r="14" spans="1:12" x14ac:dyDescent="0.2">
      <c r="C14" s="1" t="s">
        <v>239</v>
      </c>
      <c r="D14" s="28">
        <f>21136+1026+13397</f>
        <v>35559</v>
      </c>
      <c r="E14" s="5">
        <f>19927+12731</f>
        <v>32658</v>
      </c>
      <c r="F14" s="5">
        <v>32629</v>
      </c>
      <c r="G14" s="19" t="s">
        <v>139</v>
      </c>
      <c r="H14" s="5">
        <f>17866+936+12007</f>
        <v>30809</v>
      </c>
      <c r="I14" s="5">
        <f>16716+11355</f>
        <v>28071</v>
      </c>
      <c r="J14" s="5">
        <v>27648</v>
      </c>
      <c r="K14" s="5">
        <v>28447</v>
      </c>
    </row>
    <row r="15" spans="1:12" x14ac:dyDescent="0.2">
      <c r="C15" s="1" t="s">
        <v>240</v>
      </c>
      <c r="D15" s="28">
        <v>2071</v>
      </c>
      <c r="E15" s="5">
        <v>2081</v>
      </c>
      <c r="F15" s="5">
        <v>1982</v>
      </c>
      <c r="G15" s="19" t="s">
        <v>139</v>
      </c>
      <c r="H15" s="5">
        <v>1730</v>
      </c>
      <c r="I15" s="5">
        <v>1765</v>
      </c>
      <c r="J15" s="5">
        <v>1684</v>
      </c>
      <c r="K15" s="5">
        <v>1669</v>
      </c>
    </row>
    <row r="16" spans="1:12" x14ac:dyDescent="0.2">
      <c r="C16" s="1" t="s">
        <v>241</v>
      </c>
      <c r="D16" s="28">
        <v>1155</v>
      </c>
      <c r="E16" s="5">
        <v>1261</v>
      </c>
      <c r="F16" s="5">
        <v>1187</v>
      </c>
      <c r="G16" s="19" t="s">
        <v>139</v>
      </c>
      <c r="H16" s="5">
        <v>982</v>
      </c>
      <c r="I16" s="5">
        <v>1072</v>
      </c>
      <c r="J16" s="5">
        <v>974</v>
      </c>
      <c r="K16" s="5">
        <v>925</v>
      </c>
    </row>
    <row r="17" spans="3:11" x14ac:dyDescent="0.2">
      <c r="C17" s="1" t="s">
        <v>242</v>
      </c>
      <c r="D17" s="28">
        <v>1288</v>
      </c>
      <c r="E17" s="5">
        <v>1769</v>
      </c>
      <c r="F17" s="5">
        <v>1477</v>
      </c>
      <c r="G17" s="19" t="s">
        <v>139</v>
      </c>
      <c r="H17" s="5">
        <v>1105</v>
      </c>
      <c r="I17" s="5">
        <v>1513</v>
      </c>
      <c r="J17" s="5">
        <v>1230</v>
      </c>
      <c r="K17" s="5">
        <v>1186</v>
      </c>
    </row>
    <row r="18" spans="3:11" x14ac:dyDescent="0.2">
      <c r="C18" s="1" t="s">
        <v>243</v>
      </c>
      <c r="D18" s="28">
        <v>2284</v>
      </c>
      <c r="E18" s="5">
        <v>1875</v>
      </c>
      <c r="F18" s="5">
        <v>1964</v>
      </c>
      <c r="G18" s="19" t="s">
        <v>139</v>
      </c>
      <c r="H18" s="5">
        <v>1932</v>
      </c>
      <c r="I18" s="5">
        <v>1569</v>
      </c>
      <c r="J18" s="5">
        <v>1627</v>
      </c>
      <c r="K18" s="5">
        <v>1679</v>
      </c>
    </row>
    <row r="19" spans="3:11" x14ac:dyDescent="0.2">
      <c r="C19" s="1" t="s">
        <v>244</v>
      </c>
      <c r="D19" s="28">
        <f>4103+710</f>
        <v>4813</v>
      </c>
      <c r="E19" s="5">
        <f>4961+331</f>
        <v>5292</v>
      </c>
      <c r="F19" s="5">
        <v>4451</v>
      </c>
      <c r="G19" s="19" t="s">
        <v>139</v>
      </c>
      <c r="H19" s="5">
        <f>3473+644</f>
        <v>4117</v>
      </c>
      <c r="I19" s="5">
        <f>3962+287</f>
        <v>4249</v>
      </c>
      <c r="J19" s="5">
        <v>3704</v>
      </c>
      <c r="K19" s="5">
        <v>4021</v>
      </c>
    </row>
    <row r="20" spans="3:11" x14ac:dyDescent="0.2">
      <c r="C20" s="1" t="s">
        <v>245</v>
      </c>
      <c r="D20" s="28">
        <v>1402</v>
      </c>
      <c r="E20" s="5">
        <v>1319</v>
      </c>
      <c r="F20" s="5">
        <v>1599</v>
      </c>
      <c r="G20" s="19" t="s">
        <v>139</v>
      </c>
      <c r="H20" s="5">
        <v>1180</v>
      </c>
      <c r="I20" s="5">
        <v>1108</v>
      </c>
      <c r="J20" s="5">
        <v>1316</v>
      </c>
      <c r="K20" s="5">
        <v>1242</v>
      </c>
    </row>
    <row r="21" spans="3:11" x14ac:dyDescent="0.2">
      <c r="D21" s="28"/>
      <c r="E21" s="5"/>
      <c r="F21" s="5"/>
      <c r="G21" s="5"/>
      <c r="I21" s="5"/>
      <c r="J21" s="5"/>
      <c r="K21" s="5"/>
    </row>
    <row r="22" spans="3:11" x14ac:dyDescent="0.2">
      <c r="C22" s="1" t="s">
        <v>246</v>
      </c>
      <c r="D22" s="28">
        <v>744</v>
      </c>
      <c r="E22" s="5">
        <v>736</v>
      </c>
      <c r="F22" s="5">
        <v>679</v>
      </c>
      <c r="G22" s="19" t="s">
        <v>139</v>
      </c>
      <c r="H22" s="5">
        <v>633</v>
      </c>
      <c r="I22" s="5">
        <v>604</v>
      </c>
      <c r="J22" s="5">
        <v>526</v>
      </c>
      <c r="K22" s="5">
        <v>542</v>
      </c>
    </row>
    <row r="23" spans="3:11" x14ac:dyDescent="0.2">
      <c r="C23" s="1" t="s">
        <v>247</v>
      </c>
      <c r="D23" s="28">
        <v>261</v>
      </c>
      <c r="E23" s="5">
        <v>296</v>
      </c>
      <c r="F23" s="5">
        <v>320</v>
      </c>
      <c r="G23" s="19" t="s">
        <v>139</v>
      </c>
      <c r="H23" s="5">
        <v>217</v>
      </c>
      <c r="I23" s="5">
        <v>238</v>
      </c>
      <c r="J23" s="5">
        <v>253</v>
      </c>
      <c r="K23" s="5">
        <v>247</v>
      </c>
    </row>
    <row r="24" spans="3:11" x14ac:dyDescent="0.2">
      <c r="C24" s="1" t="s">
        <v>248</v>
      </c>
      <c r="D24" s="28">
        <v>181</v>
      </c>
      <c r="E24" s="5">
        <v>161</v>
      </c>
      <c r="F24" s="5">
        <v>158</v>
      </c>
      <c r="G24" s="19" t="s">
        <v>139</v>
      </c>
      <c r="H24" s="5">
        <v>166</v>
      </c>
      <c r="I24" s="5">
        <v>139</v>
      </c>
      <c r="J24" s="5">
        <v>136</v>
      </c>
      <c r="K24" s="5">
        <v>121</v>
      </c>
    </row>
    <row r="25" spans="3:11" x14ac:dyDescent="0.2">
      <c r="C25" s="1" t="s">
        <v>249</v>
      </c>
      <c r="D25" s="28">
        <v>351</v>
      </c>
      <c r="E25" s="5">
        <v>527</v>
      </c>
      <c r="F25" s="5">
        <v>595</v>
      </c>
      <c r="G25" s="19" t="s">
        <v>139</v>
      </c>
      <c r="H25" s="5">
        <v>291</v>
      </c>
      <c r="I25" s="5">
        <v>429</v>
      </c>
      <c r="J25" s="5">
        <v>511</v>
      </c>
      <c r="K25" s="5">
        <v>426</v>
      </c>
    </row>
    <row r="26" spans="3:11" x14ac:dyDescent="0.2">
      <c r="C26" s="1" t="s">
        <v>250</v>
      </c>
      <c r="D26" s="28">
        <v>531</v>
      </c>
      <c r="E26" s="5">
        <v>583</v>
      </c>
      <c r="F26" s="5">
        <v>530</v>
      </c>
      <c r="G26" s="19" t="s">
        <v>139</v>
      </c>
      <c r="H26" s="5">
        <v>448</v>
      </c>
      <c r="I26" s="5">
        <v>495</v>
      </c>
      <c r="J26" s="5">
        <v>434</v>
      </c>
      <c r="K26" s="5">
        <v>438</v>
      </c>
    </row>
    <row r="27" spans="3:11" x14ac:dyDescent="0.2">
      <c r="C27" s="1" t="s">
        <v>251</v>
      </c>
      <c r="D27" s="28">
        <v>482</v>
      </c>
      <c r="E27" s="5">
        <v>306</v>
      </c>
      <c r="F27" s="5">
        <v>263</v>
      </c>
      <c r="G27" s="19" t="s">
        <v>139</v>
      </c>
      <c r="H27" s="5">
        <v>388</v>
      </c>
      <c r="I27" s="5">
        <v>250</v>
      </c>
      <c r="J27" s="5">
        <v>213</v>
      </c>
      <c r="K27" s="5">
        <v>251</v>
      </c>
    </row>
    <row r="28" spans="3:11" x14ac:dyDescent="0.2">
      <c r="C28" s="1" t="s">
        <v>252</v>
      </c>
      <c r="D28" s="28">
        <v>198</v>
      </c>
      <c r="E28" s="5">
        <v>329</v>
      </c>
      <c r="F28" s="5">
        <v>363</v>
      </c>
      <c r="G28" s="19" t="s">
        <v>139</v>
      </c>
      <c r="H28" s="5">
        <v>176</v>
      </c>
      <c r="I28" s="5">
        <v>264</v>
      </c>
      <c r="J28" s="5">
        <v>300</v>
      </c>
      <c r="K28" s="5">
        <v>264</v>
      </c>
    </row>
    <row r="29" spans="3:11" x14ac:dyDescent="0.2">
      <c r="C29" s="1" t="s">
        <v>253</v>
      </c>
      <c r="D29" s="28">
        <v>488</v>
      </c>
      <c r="E29" s="5">
        <v>534</v>
      </c>
      <c r="F29" s="5">
        <v>459</v>
      </c>
      <c r="G29" s="19" t="s">
        <v>139</v>
      </c>
      <c r="H29" s="5">
        <v>412</v>
      </c>
      <c r="I29" s="5">
        <v>440</v>
      </c>
      <c r="J29" s="5">
        <v>386</v>
      </c>
      <c r="K29" s="5">
        <v>444</v>
      </c>
    </row>
    <row r="30" spans="3:11" x14ac:dyDescent="0.2">
      <c r="C30" s="1" t="s">
        <v>254</v>
      </c>
      <c r="D30" s="28">
        <v>1285</v>
      </c>
      <c r="E30" s="5">
        <v>1240</v>
      </c>
      <c r="F30" s="5">
        <v>1320</v>
      </c>
      <c r="G30" s="19" t="s">
        <v>139</v>
      </c>
      <c r="H30" s="5">
        <v>1105</v>
      </c>
      <c r="I30" s="5">
        <v>1061</v>
      </c>
      <c r="J30" s="5">
        <v>1067</v>
      </c>
      <c r="K30" s="5">
        <v>1037</v>
      </c>
    </row>
    <row r="31" spans="3:11" x14ac:dyDescent="0.2">
      <c r="D31" s="28"/>
      <c r="E31" s="5"/>
      <c r="F31" s="5"/>
      <c r="G31" s="5"/>
      <c r="I31" s="5"/>
      <c r="J31" s="5"/>
      <c r="K31" s="5"/>
    </row>
    <row r="32" spans="3:11" x14ac:dyDescent="0.2">
      <c r="C32" s="1" t="s">
        <v>255</v>
      </c>
      <c r="D32" s="28">
        <v>589</v>
      </c>
      <c r="E32" s="5">
        <v>511</v>
      </c>
      <c r="F32" s="5">
        <v>647</v>
      </c>
      <c r="G32" s="19" t="s">
        <v>139</v>
      </c>
      <c r="H32" s="5">
        <v>515</v>
      </c>
      <c r="I32" s="5">
        <v>429</v>
      </c>
      <c r="J32" s="5">
        <v>536</v>
      </c>
      <c r="K32" s="5">
        <v>459</v>
      </c>
    </row>
    <row r="33" spans="3:11" x14ac:dyDescent="0.2">
      <c r="C33" s="1" t="s">
        <v>256</v>
      </c>
      <c r="D33" s="28">
        <v>518</v>
      </c>
      <c r="E33" s="5">
        <v>544</v>
      </c>
      <c r="F33" s="5">
        <v>636</v>
      </c>
      <c r="G33" s="19" t="s">
        <v>139</v>
      </c>
      <c r="H33" s="5">
        <v>429</v>
      </c>
      <c r="I33" s="5">
        <v>462</v>
      </c>
      <c r="J33" s="5">
        <v>544</v>
      </c>
      <c r="K33" s="5">
        <v>508</v>
      </c>
    </row>
    <row r="34" spans="3:11" x14ac:dyDescent="0.2">
      <c r="C34" s="1" t="s">
        <v>257</v>
      </c>
      <c r="D34" s="28">
        <v>88</v>
      </c>
      <c r="E34" s="5">
        <v>111</v>
      </c>
      <c r="F34" s="5">
        <v>28</v>
      </c>
      <c r="G34" s="19" t="s">
        <v>139</v>
      </c>
      <c r="H34" s="5">
        <v>79</v>
      </c>
      <c r="I34" s="5">
        <v>96</v>
      </c>
      <c r="J34" s="5">
        <v>21</v>
      </c>
      <c r="K34" s="5">
        <v>29</v>
      </c>
    </row>
    <row r="35" spans="3:11" x14ac:dyDescent="0.2">
      <c r="C35" s="1" t="s">
        <v>258</v>
      </c>
      <c r="D35" s="28">
        <v>219</v>
      </c>
      <c r="E35" s="5">
        <v>162</v>
      </c>
      <c r="F35" s="5">
        <v>162</v>
      </c>
      <c r="G35" s="19" t="s">
        <v>139</v>
      </c>
      <c r="H35" s="5">
        <v>204</v>
      </c>
      <c r="I35" s="5">
        <v>139</v>
      </c>
      <c r="J35" s="5">
        <v>138</v>
      </c>
      <c r="K35" s="5">
        <v>102</v>
      </c>
    </row>
    <row r="36" spans="3:11" x14ac:dyDescent="0.2">
      <c r="C36" s="1" t="s">
        <v>259</v>
      </c>
      <c r="D36" s="28">
        <v>59</v>
      </c>
      <c r="E36" s="5">
        <v>44</v>
      </c>
      <c r="F36" s="5">
        <v>47</v>
      </c>
      <c r="G36" s="19" t="s">
        <v>139</v>
      </c>
      <c r="H36" s="5">
        <v>53</v>
      </c>
      <c r="I36" s="5">
        <v>37</v>
      </c>
      <c r="J36" s="5">
        <v>38</v>
      </c>
      <c r="K36" s="5">
        <v>30</v>
      </c>
    </row>
    <row r="37" spans="3:11" x14ac:dyDescent="0.2">
      <c r="C37" s="1" t="s">
        <v>260</v>
      </c>
      <c r="D37" s="28">
        <v>1074</v>
      </c>
      <c r="E37" s="5">
        <v>1095</v>
      </c>
      <c r="F37" s="5">
        <v>1295</v>
      </c>
      <c r="G37" s="19" t="s">
        <v>139</v>
      </c>
      <c r="H37" s="5">
        <v>921</v>
      </c>
      <c r="I37" s="5">
        <v>964</v>
      </c>
      <c r="J37" s="5">
        <v>1086</v>
      </c>
      <c r="K37" s="5">
        <v>816</v>
      </c>
    </row>
    <row r="38" spans="3:11" x14ac:dyDescent="0.2">
      <c r="C38" s="1" t="s">
        <v>261</v>
      </c>
      <c r="D38" s="28">
        <v>299</v>
      </c>
      <c r="E38" s="5">
        <v>305</v>
      </c>
      <c r="F38" s="5">
        <v>207</v>
      </c>
      <c r="G38" s="19" t="s">
        <v>139</v>
      </c>
      <c r="H38" s="5">
        <v>244</v>
      </c>
      <c r="I38" s="5">
        <v>258</v>
      </c>
      <c r="J38" s="5">
        <v>168</v>
      </c>
      <c r="K38" s="5">
        <v>226</v>
      </c>
    </row>
    <row r="39" spans="3:11" x14ac:dyDescent="0.2">
      <c r="C39" s="1" t="s">
        <v>262</v>
      </c>
      <c r="D39" s="28">
        <v>469</v>
      </c>
      <c r="E39" s="5">
        <v>638</v>
      </c>
      <c r="F39" s="5">
        <v>632</v>
      </c>
      <c r="G39" s="19" t="s">
        <v>139</v>
      </c>
      <c r="H39" s="5">
        <v>400</v>
      </c>
      <c r="I39" s="5">
        <v>533</v>
      </c>
      <c r="J39" s="5">
        <v>525</v>
      </c>
      <c r="K39" s="5">
        <v>489</v>
      </c>
    </row>
    <row r="40" spans="3:11" x14ac:dyDescent="0.2">
      <c r="C40" s="1" t="s">
        <v>263</v>
      </c>
      <c r="D40" s="28">
        <v>514</v>
      </c>
      <c r="E40" s="5">
        <v>411</v>
      </c>
      <c r="F40" s="5">
        <v>446</v>
      </c>
      <c r="G40" s="19" t="s">
        <v>139</v>
      </c>
      <c r="H40" s="5">
        <v>437</v>
      </c>
      <c r="I40" s="5">
        <v>347</v>
      </c>
      <c r="J40" s="5">
        <v>362</v>
      </c>
      <c r="K40" s="5">
        <v>359</v>
      </c>
    </row>
    <row r="41" spans="3:11" x14ac:dyDescent="0.2">
      <c r="C41" s="1" t="s">
        <v>264</v>
      </c>
      <c r="D41" s="28">
        <v>221</v>
      </c>
      <c r="E41" s="5">
        <v>221</v>
      </c>
      <c r="F41" s="5">
        <v>202</v>
      </c>
      <c r="G41" s="19" t="s">
        <v>139</v>
      </c>
      <c r="H41" s="5">
        <v>195</v>
      </c>
      <c r="I41" s="5">
        <v>198</v>
      </c>
      <c r="J41" s="5">
        <v>181</v>
      </c>
      <c r="K41" s="5">
        <v>168</v>
      </c>
    </row>
    <row r="42" spans="3:11" x14ac:dyDescent="0.2">
      <c r="D42" s="28"/>
      <c r="E42" s="5"/>
      <c r="F42" s="5"/>
      <c r="G42" s="5"/>
      <c r="I42" s="5"/>
      <c r="J42" s="5"/>
      <c r="K42" s="5"/>
    </row>
    <row r="43" spans="3:11" x14ac:dyDescent="0.2">
      <c r="C43" s="1" t="s">
        <v>265</v>
      </c>
      <c r="D43" s="28">
        <v>229</v>
      </c>
      <c r="E43" s="5">
        <v>299</v>
      </c>
      <c r="F43" s="5">
        <v>208</v>
      </c>
      <c r="G43" s="19" t="s">
        <v>139</v>
      </c>
      <c r="H43" s="5">
        <v>200</v>
      </c>
      <c r="I43" s="5">
        <v>225</v>
      </c>
      <c r="J43" s="5">
        <v>174</v>
      </c>
      <c r="K43" s="5">
        <v>241</v>
      </c>
    </row>
    <row r="44" spans="3:11" x14ac:dyDescent="0.2">
      <c r="C44" s="1" t="s">
        <v>266</v>
      </c>
      <c r="D44" s="28">
        <v>185</v>
      </c>
      <c r="E44" s="5">
        <v>206</v>
      </c>
      <c r="F44" s="5">
        <v>256</v>
      </c>
      <c r="G44" s="19" t="s">
        <v>139</v>
      </c>
      <c r="H44" s="5">
        <v>156</v>
      </c>
      <c r="I44" s="5">
        <v>162</v>
      </c>
      <c r="J44" s="5">
        <v>223</v>
      </c>
      <c r="K44" s="5">
        <v>225</v>
      </c>
    </row>
    <row r="45" spans="3:11" x14ac:dyDescent="0.2">
      <c r="C45" s="1" t="s">
        <v>267</v>
      </c>
      <c r="D45" s="28">
        <v>355</v>
      </c>
      <c r="E45" s="5">
        <v>235</v>
      </c>
      <c r="F45" s="5">
        <v>310</v>
      </c>
      <c r="G45" s="19" t="s">
        <v>139</v>
      </c>
      <c r="H45" s="5">
        <v>308</v>
      </c>
      <c r="I45" s="5">
        <v>195</v>
      </c>
      <c r="J45" s="5">
        <v>257</v>
      </c>
      <c r="K45" s="5">
        <v>273</v>
      </c>
    </row>
    <row r="46" spans="3:11" x14ac:dyDescent="0.2">
      <c r="C46" s="1" t="s">
        <v>268</v>
      </c>
      <c r="D46" s="28">
        <v>278</v>
      </c>
      <c r="E46" s="5">
        <v>224</v>
      </c>
      <c r="F46" s="5">
        <v>324</v>
      </c>
      <c r="G46" s="19" t="s">
        <v>139</v>
      </c>
      <c r="H46" s="5">
        <v>232</v>
      </c>
      <c r="I46" s="5">
        <v>191</v>
      </c>
      <c r="J46" s="5">
        <v>273</v>
      </c>
      <c r="K46" s="5">
        <v>236</v>
      </c>
    </row>
    <row r="47" spans="3:11" x14ac:dyDescent="0.2">
      <c r="C47" s="1" t="s">
        <v>269</v>
      </c>
      <c r="D47" s="28">
        <v>134</v>
      </c>
      <c r="E47" s="5">
        <v>140</v>
      </c>
      <c r="F47" s="5">
        <v>158</v>
      </c>
      <c r="G47" s="19" t="s">
        <v>139</v>
      </c>
      <c r="H47" s="5">
        <v>111</v>
      </c>
      <c r="I47" s="5">
        <v>120</v>
      </c>
      <c r="J47" s="5">
        <v>128</v>
      </c>
      <c r="K47" s="5">
        <v>121</v>
      </c>
    </row>
    <row r="48" spans="3:11" x14ac:dyDescent="0.2">
      <c r="C48" s="1" t="s">
        <v>270</v>
      </c>
      <c r="D48" s="28">
        <v>139</v>
      </c>
      <c r="E48" s="5">
        <v>142</v>
      </c>
      <c r="F48" s="5">
        <v>127</v>
      </c>
      <c r="G48" s="19" t="s">
        <v>139</v>
      </c>
      <c r="H48" s="5">
        <v>120</v>
      </c>
      <c r="I48" s="5">
        <v>119</v>
      </c>
      <c r="J48" s="5">
        <v>97</v>
      </c>
      <c r="K48" s="5">
        <v>94</v>
      </c>
    </row>
    <row r="49" spans="3:11" x14ac:dyDescent="0.2">
      <c r="C49" s="1" t="s">
        <v>271</v>
      </c>
      <c r="D49" s="28">
        <v>173</v>
      </c>
      <c r="E49" s="5">
        <v>151</v>
      </c>
      <c r="F49" s="5">
        <v>208</v>
      </c>
      <c r="G49" s="19" t="s">
        <v>139</v>
      </c>
      <c r="H49" s="5">
        <v>140</v>
      </c>
      <c r="I49" s="5">
        <v>122</v>
      </c>
      <c r="J49" s="5">
        <v>172</v>
      </c>
      <c r="K49" s="5">
        <v>184</v>
      </c>
    </row>
    <row r="50" spans="3:11" x14ac:dyDescent="0.2">
      <c r="C50" s="1" t="s">
        <v>272</v>
      </c>
      <c r="D50" s="28">
        <v>338</v>
      </c>
      <c r="E50" s="5">
        <v>334</v>
      </c>
      <c r="F50" s="5">
        <v>380</v>
      </c>
      <c r="G50" s="19" t="s">
        <v>139</v>
      </c>
      <c r="H50" s="5">
        <v>299</v>
      </c>
      <c r="I50" s="5">
        <v>277</v>
      </c>
      <c r="J50" s="5">
        <v>314</v>
      </c>
      <c r="K50" s="5">
        <v>256</v>
      </c>
    </row>
    <row r="51" spans="3:11" x14ac:dyDescent="0.2">
      <c r="C51" s="1" t="s">
        <v>273</v>
      </c>
      <c r="D51" s="28">
        <v>451</v>
      </c>
      <c r="E51" s="5">
        <v>480</v>
      </c>
      <c r="F51" s="5">
        <v>400</v>
      </c>
      <c r="G51" s="19" t="s">
        <v>139</v>
      </c>
      <c r="H51" s="5">
        <v>374</v>
      </c>
      <c r="I51" s="5">
        <v>405</v>
      </c>
      <c r="J51" s="5">
        <v>325</v>
      </c>
      <c r="K51" s="5">
        <v>442</v>
      </c>
    </row>
    <row r="52" spans="3:11" x14ac:dyDescent="0.2">
      <c r="C52" s="1" t="s">
        <v>274</v>
      </c>
      <c r="D52" s="28">
        <v>311</v>
      </c>
      <c r="E52" s="5">
        <v>314</v>
      </c>
      <c r="F52" s="5">
        <v>333</v>
      </c>
      <c r="G52" s="19" t="s">
        <v>139</v>
      </c>
      <c r="H52" s="5">
        <v>252</v>
      </c>
      <c r="I52" s="5">
        <v>238</v>
      </c>
      <c r="J52" s="5">
        <v>271</v>
      </c>
      <c r="K52" s="5">
        <v>250</v>
      </c>
    </row>
    <row r="53" spans="3:11" x14ac:dyDescent="0.2">
      <c r="D53" s="28"/>
      <c r="E53" s="5"/>
      <c r="F53" s="5"/>
      <c r="G53" s="5"/>
      <c r="I53" s="5"/>
      <c r="J53" s="5"/>
      <c r="K53" s="5"/>
    </row>
    <row r="54" spans="3:11" x14ac:dyDescent="0.2">
      <c r="C54" s="1" t="s">
        <v>275</v>
      </c>
      <c r="D54" s="28">
        <v>715</v>
      </c>
      <c r="E54" s="5">
        <v>783</v>
      </c>
      <c r="F54" s="5">
        <v>759</v>
      </c>
      <c r="G54" s="19" t="s">
        <v>139</v>
      </c>
      <c r="H54" s="5">
        <v>606</v>
      </c>
      <c r="I54" s="5">
        <v>639</v>
      </c>
      <c r="J54" s="5">
        <v>622</v>
      </c>
      <c r="K54" s="5">
        <v>490</v>
      </c>
    </row>
    <row r="55" spans="3:11" x14ac:dyDescent="0.2">
      <c r="C55" s="1" t="s">
        <v>276</v>
      </c>
      <c r="D55" s="28">
        <v>94</v>
      </c>
      <c r="E55" s="5">
        <v>66</v>
      </c>
      <c r="F55" s="5">
        <v>106</v>
      </c>
      <c r="G55" s="19" t="s">
        <v>139</v>
      </c>
      <c r="H55" s="5">
        <v>86</v>
      </c>
      <c r="I55" s="5">
        <v>55</v>
      </c>
      <c r="J55" s="5">
        <v>94</v>
      </c>
      <c r="K55" s="5">
        <v>53</v>
      </c>
    </row>
    <row r="56" spans="3:11" x14ac:dyDescent="0.2">
      <c r="C56" s="1" t="s">
        <v>277</v>
      </c>
      <c r="D56" s="28">
        <v>74</v>
      </c>
      <c r="E56" s="5">
        <v>101</v>
      </c>
      <c r="F56" s="5">
        <v>151</v>
      </c>
      <c r="G56" s="19" t="s">
        <v>139</v>
      </c>
      <c r="H56" s="5">
        <v>140</v>
      </c>
      <c r="I56" s="5">
        <v>81</v>
      </c>
      <c r="J56" s="5">
        <v>128</v>
      </c>
      <c r="K56" s="5">
        <v>167</v>
      </c>
    </row>
    <row r="57" spans="3:11" x14ac:dyDescent="0.2">
      <c r="C57" s="1" t="s">
        <v>278</v>
      </c>
      <c r="D57" s="28">
        <v>1166</v>
      </c>
      <c r="E57" s="5">
        <v>1085</v>
      </c>
      <c r="F57" s="5">
        <v>964</v>
      </c>
      <c r="G57" s="19" t="s">
        <v>139</v>
      </c>
      <c r="H57" s="5">
        <v>947</v>
      </c>
      <c r="I57" s="5">
        <v>876</v>
      </c>
      <c r="J57" s="5">
        <v>816</v>
      </c>
      <c r="K57" s="5">
        <v>844</v>
      </c>
    </row>
    <row r="58" spans="3:11" x14ac:dyDescent="0.2">
      <c r="C58" s="1" t="s">
        <v>279</v>
      </c>
      <c r="D58" s="28">
        <v>99</v>
      </c>
      <c r="E58" s="5">
        <v>111</v>
      </c>
      <c r="F58" s="5">
        <v>153</v>
      </c>
      <c r="G58" s="19" t="s">
        <v>139</v>
      </c>
      <c r="H58" s="5">
        <v>58</v>
      </c>
      <c r="I58" s="5">
        <v>101</v>
      </c>
      <c r="J58" s="5">
        <v>128</v>
      </c>
      <c r="K58" s="5">
        <v>104</v>
      </c>
    </row>
    <row r="59" spans="3:11" x14ac:dyDescent="0.2">
      <c r="C59" s="1" t="s">
        <v>280</v>
      </c>
      <c r="D59" s="28">
        <v>298</v>
      </c>
      <c r="E59" s="5">
        <v>293</v>
      </c>
      <c r="F59" s="5">
        <v>288</v>
      </c>
      <c r="G59" s="19" t="s">
        <v>139</v>
      </c>
      <c r="H59" s="5">
        <v>266</v>
      </c>
      <c r="I59" s="5">
        <v>261</v>
      </c>
      <c r="J59" s="5">
        <v>235</v>
      </c>
      <c r="K59" s="5">
        <v>235</v>
      </c>
    </row>
    <row r="60" spans="3:11" x14ac:dyDescent="0.2">
      <c r="C60" s="1" t="s">
        <v>281</v>
      </c>
      <c r="D60" s="28">
        <v>812</v>
      </c>
      <c r="E60" s="5">
        <v>663</v>
      </c>
      <c r="F60" s="5">
        <v>698</v>
      </c>
      <c r="G60" s="19" t="s">
        <v>139</v>
      </c>
      <c r="H60" s="5">
        <v>688</v>
      </c>
      <c r="I60" s="5">
        <v>552</v>
      </c>
      <c r="J60" s="5">
        <v>579</v>
      </c>
      <c r="K60" s="5">
        <v>648</v>
      </c>
    </row>
    <row r="61" spans="3:11" x14ac:dyDescent="0.2">
      <c r="C61" s="1" t="s">
        <v>282</v>
      </c>
      <c r="D61" s="28">
        <v>643</v>
      </c>
      <c r="E61" s="5">
        <v>673</v>
      </c>
      <c r="F61" s="5">
        <v>668</v>
      </c>
      <c r="G61" s="19" t="s">
        <v>139</v>
      </c>
      <c r="H61" s="5">
        <v>563</v>
      </c>
      <c r="I61" s="5">
        <v>558</v>
      </c>
      <c r="J61" s="5">
        <v>520</v>
      </c>
      <c r="K61" s="5">
        <v>567</v>
      </c>
    </row>
    <row r="62" spans="3:11" x14ac:dyDescent="0.2">
      <c r="C62" s="1" t="s">
        <v>283</v>
      </c>
      <c r="D62" s="28">
        <v>47</v>
      </c>
      <c r="E62" s="5">
        <v>72</v>
      </c>
      <c r="F62" s="5">
        <v>181</v>
      </c>
      <c r="G62" s="19" t="s">
        <v>139</v>
      </c>
      <c r="H62" s="5">
        <v>43</v>
      </c>
      <c r="I62" s="5">
        <v>58</v>
      </c>
      <c r="J62" s="5">
        <v>132</v>
      </c>
      <c r="K62" s="5">
        <v>64</v>
      </c>
    </row>
    <row r="63" spans="3:11" x14ac:dyDescent="0.2">
      <c r="C63" s="1" t="s">
        <v>284</v>
      </c>
      <c r="D63" s="28">
        <v>114</v>
      </c>
      <c r="E63" s="5">
        <v>112</v>
      </c>
      <c r="F63" s="5">
        <v>139</v>
      </c>
      <c r="G63" s="19" t="s">
        <v>139</v>
      </c>
      <c r="H63" s="5">
        <v>91</v>
      </c>
      <c r="I63" s="5">
        <v>101</v>
      </c>
      <c r="J63" s="5">
        <v>113</v>
      </c>
      <c r="K63" s="5">
        <v>119</v>
      </c>
    </row>
    <row r="64" spans="3:11" x14ac:dyDescent="0.2">
      <c r="C64" s="1" t="s">
        <v>285</v>
      </c>
      <c r="D64" s="28">
        <v>49</v>
      </c>
      <c r="E64" s="5">
        <v>78</v>
      </c>
      <c r="F64" s="5">
        <v>92</v>
      </c>
      <c r="G64" s="19" t="s">
        <v>139</v>
      </c>
      <c r="H64" s="5">
        <v>45</v>
      </c>
      <c r="I64" s="5">
        <v>59</v>
      </c>
      <c r="J64" s="5">
        <v>77</v>
      </c>
      <c r="K64" s="5">
        <v>106</v>
      </c>
    </row>
    <row r="65" spans="1:11" x14ac:dyDescent="0.2">
      <c r="C65" s="1" t="s">
        <v>286</v>
      </c>
      <c r="D65" s="28">
        <v>45</v>
      </c>
      <c r="E65" s="5">
        <v>40</v>
      </c>
      <c r="F65" s="5">
        <v>102</v>
      </c>
      <c r="G65" s="19" t="s">
        <v>139</v>
      </c>
      <c r="H65" s="5">
        <v>35</v>
      </c>
      <c r="I65" s="5">
        <v>28</v>
      </c>
      <c r="J65" s="5">
        <v>88</v>
      </c>
      <c r="K65" s="5">
        <v>66</v>
      </c>
    </row>
    <row r="66" spans="1:11" x14ac:dyDescent="0.2">
      <c r="C66" s="1" t="s">
        <v>287</v>
      </c>
      <c r="D66" s="28">
        <v>116</v>
      </c>
      <c r="E66" s="5">
        <v>112</v>
      </c>
      <c r="F66" s="5">
        <v>121</v>
      </c>
      <c r="G66" s="19" t="s">
        <v>139</v>
      </c>
      <c r="H66" s="5">
        <v>99</v>
      </c>
      <c r="I66" s="5">
        <v>99</v>
      </c>
      <c r="J66" s="5">
        <v>100</v>
      </c>
      <c r="K66" s="5">
        <v>80</v>
      </c>
    </row>
    <row r="67" spans="1:11" x14ac:dyDescent="0.2">
      <c r="C67" s="1" t="s">
        <v>288</v>
      </c>
      <c r="D67" s="28">
        <v>22</v>
      </c>
      <c r="E67" s="5">
        <v>10</v>
      </c>
      <c r="F67" s="5">
        <v>28</v>
      </c>
      <c r="G67" s="19" t="s">
        <v>139</v>
      </c>
      <c r="H67" s="5">
        <v>15</v>
      </c>
      <c r="I67" s="5">
        <v>10</v>
      </c>
      <c r="J67" s="5">
        <v>24</v>
      </c>
      <c r="K67" s="5">
        <v>18</v>
      </c>
    </row>
    <row r="68" spans="1:11" ht="18" thickBot="1" x14ac:dyDescent="0.25">
      <c r="B68" s="6"/>
      <c r="C68" s="6"/>
      <c r="D68" s="33"/>
      <c r="E68" s="8"/>
      <c r="F68" s="8"/>
      <c r="G68" s="6"/>
      <c r="H68" s="6"/>
      <c r="I68" s="8"/>
      <c r="J68" s="8"/>
      <c r="K68" s="6"/>
    </row>
    <row r="69" spans="1:11" x14ac:dyDescent="0.2">
      <c r="D69" s="1" t="s">
        <v>289</v>
      </c>
    </row>
    <row r="70" spans="1:11" x14ac:dyDescent="0.2">
      <c r="D70" s="1" t="s">
        <v>290</v>
      </c>
    </row>
    <row r="71" spans="1:11" x14ac:dyDescent="0.2">
      <c r="A71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4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4" t="s">
        <v>593</v>
      </c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C8" s="10"/>
      <c r="D8" s="1" t="s">
        <v>594</v>
      </c>
      <c r="H8" s="13" t="s">
        <v>595</v>
      </c>
      <c r="I8" s="10"/>
      <c r="J8" s="1" t="s">
        <v>596</v>
      </c>
    </row>
    <row r="9" spans="1:11" x14ac:dyDescent="0.2">
      <c r="C9" s="14"/>
      <c r="D9" s="31" t="s">
        <v>597</v>
      </c>
      <c r="E9" s="12"/>
      <c r="F9" s="12"/>
      <c r="G9" s="12"/>
      <c r="H9" s="13" t="s">
        <v>598</v>
      </c>
      <c r="I9" s="14"/>
      <c r="J9" s="31" t="s">
        <v>599</v>
      </c>
      <c r="K9" s="12"/>
    </row>
    <row r="10" spans="1:11" x14ac:dyDescent="0.2">
      <c r="B10" s="12"/>
      <c r="C10" s="17" t="s">
        <v>575</v>
      </c>
      <c r="D10" s="29" t="s">
        <v>600</v>
      </c>
      <c r="E10" s="29" t="s">
        <v>601</v>
      </c>
      <c r="F10" s="29" t="s">
        <v>602</v>
      </c>
      <c r="G10" s="29" t="s">
        <v>603</v>
      </c>
      <c r="H10" s="29" t="s">
        <v>604</v>
      </c>
      <c r="I10" s="29" t="s">
        <v>600</v>
      </c>
      <c r="J10" s="29" t="s">
        <v>602</v>
      </c>
      <c r="K10" s="29" t="s">
        <v>605</v>
      </c>
    </row>
    <row r="11" spans="1:11" x14ac:dyDescent="0.2">
      <c r="C11" s="46" t="s">
        <v>331</v>
      </c>
      <c r="D11" s="44" t="s">
        <v>331</v>
      </c>
      <c r="E11" s="44" t="s">
        <v>331</v>
      </c>
      <c r="F11" s="44" t="s">
        <v>331</v>
      </c>
      <c r="G11" s="44" t="s">
        <v>331</v>
      </c>
      <c r="H11" s="44" t="s">
        <v>331</v>
      </c>
      <c r="I11" s="44" t="s">
        <v>606</v>
      </c>
      <c r="J11" s="44" t="s">
        <v>606</v>
      </c>
      <c r="K11" s="44" t="s">
        <v>606</v>
      </c>
    </row>
    <row r="12" spans="1:11" x14ac:dyDescent="0.2">
      <c r="B12" s="1" t="s">
        <v>14</v>
      </c>
      <c r="C12" s="94">
        <f>D12+E12+F12+G12</f>
        <v>9064</v>
      </c>
      <c r="D12" s="95">
        <v>2821</v>
      </c>
      <c r="E12" s="96" t="s">
        <v>52</v>
      </c>
      <c r="F12" s="95">
        <v>1064</v>
      </c>
      <c r="G12" s="95">
        <v>5179</v>
      </c>
      <c r="H12" s="96" t="s">
        <v>139</v>
      </c>
      <c r="I12" s="96" t="s">
        <v>139</v>
      </c>
      <c r="J12" s="96" t="s">
        <v>139</v>
      </c>
      <c r="K12" s="96" t="s">
        <v>139</v>
      </c>
    </row>
    <row r="13" spans="1:11" x14ac:dyDescent="0.2">
      <c r="B13" s="1" t="s">
        <v>15</v>
      </c>
      <c r="C13" s="94">
        <f>D13+E13+F13+G13</f>
        <v>10673.1</v>
      </c>
      <c r="D13" s="95">
        <v>2956</v>
      </c>
      <c r="E13" s="95">
        <v>0.5</v>
      </c>
      <c r="F13" s="95">
        <v>678.6</v>
      </c>
      <c r="G13" s="95">
        <v>7038</v>
      </c>
      <c r="H13" s="96" t="s">
        <v>139</v>
      </c>
      <c r="I13" s="96" t="s">
        <v>139</v>
      </c>
      <c r="J13" s="96" t="s">
        <v>139</v>
      </c>
      <c r="K13" s="96" t="s">
        <v>139</v>
      </c>
    </row>
    <row r="14" spans="1:11" x14ac:dyDescent="0.2">
      <c r="B14" s="1" t="s">
        <v>160</v>
      </c>
      <c r="C14" s="94">
        <f>D14+E14+F14+G14</f>
        <v>11957</v>
      </c>
      <c r="D14" s="95">
        <v>2966.4</v>
      </c>
      <c r="E14" s="95">
        <v>0.7</v>
      </c>
      <c r="F14" s="95">
        <v>456.2</v>
      </c>
      <c r="G14" s="95">
        <v>8533.7000000000007</v>
      </c>
      <c r="H14" s="95">
        <v>13568.3</v>
      </c>
      <c r="I14" s="97">
        <v>983.4</v>
      </c>
      <c r="J14" s="97">
        <v>327.8</v>
      </c>
      <c r="K14" s="97">
        <v>44.7</v>
      </c>
    </row>
    <row r="15" spans="1:11" x14ac:dyDescent="0.2">
      <c r="B15" s="1" t="s">
        <v>21</v>
      </c>
      <c r="C15" s="94">
        <f>D15+E15+F15+G15</f>
        <v>12210</v>
      </c>
      <c r="D15" s="95">
        <v>2925.7</v>
      </c>
      <c r="E15" s="95">
        <v>0.4</v>
      </c>
      <c r="F15" s="95">
        <v>408.5</v>
      </c>
      <c r="G15" s="95">
        <v>8875.4</v>
      </c>
      <c r="H15" s="95">
        <v>14273.8</v>
      </c>
      <c r="I15" s="97">
        <v>919</v>
      </c>
      <c r="J15" s="97">
        <v>287.60000000000002</v>
      </c>
      <c r="K15" s="97">
        <v>44.4</v>
      </c>
    </row>
    <row r="16" spans="1:11" x14ac:dyDescent="0.2">
      <c r="C16" s="10"/>
    </row>
    <row r="17" spans="2:11" x14ac:dyDescent="0.2">
      <c r="B17" s="1" t="s">
        <v>586</v>
      </c>
      <c r="C17" s="94">
        <f>D17+E17+F17+G17</f>
        <v>12315.7</v>
      </c>
      <c r="D17" s="95">
        <v>2919</v>
      </c>
      <c r="E17" s="95">
        <v>0.2</v>
      </c>
      <c r="F17" s="95">
        <v>362.5</v>
      </c>
      <c r="G17" s="95">
        <v>9034</v>
      </c>
      <c r="H17" s="95">
        <v>14850</v>
      </c>
      <c r="I17" s="97">
        <v>923.9</v>
      </c>
      <c r="J17" s="97">
        <v>261.2</v>
      </c>
      <c r="K17" s="97">
        <v>43.6</v>
      </c>
    </row>
    <row r="18" spans="2:11" x14ac:dyDescent="0.2">
      <c r="B18" s="1" t="s">
        <v>22</v>
      </c>
      <c r="C18" s="94">
        <f>D18+E18+F18+G18</f>
        <v>12418.800000000001</v>
      </c>
      <c r="D18" s="95">
        <v>2901.8</v>
      </c>
      <c r="E18" s="95">
        <v>0.3</v>
      </c>
      <c r="F18" s="95">
        <v>333.5</v>
      </c>
      <c r="G18" s="95">
        <v>9183.2000000000007</v>
      </c>
      <c r="H18" s="95">
        <v>15515.9</v>
      </c>
      <c r="I18" s="97">
        <v>834.3</v>
      </c>
      <c r="J18" s="97">
        <v>234.7</v>
      </c>
      <c r="K18" s="97">
        <v>43</v>
      </c>
    </row>
    <row r="19" spans="2:11" x14ac:dyDescent="0.2">
      <c r="B19" s="1" t="s">
        <v>587</v>
      </c>
      <c r="C19" s="94">
        <f>D19+E19+F19+G19</f>
        <v>12634.099999999999</v>
      </c>
      <c r="D19" s="95">
        <v>2853.7</v>
      </c>
      <c r="E19" s="95">
        <v>0.2</v>
      </c>
      <c r="F19" s="95">
        <v>311.2</v>
      </c>
      <c r="G19" s="95">
        <v>9469</v>
      </c>
      <c r="H19" s="95">
        <v>16263.8</v>
      </c>
      <c r="I19" s="97">
        <v>846.5</v>
      </c>
      <c r="J19" s="97">
        <v>211.4</v>
      </c>
      <c r="K19" s="97">
        <v>42.7</v>
      </c>
    </row>
    <row r="20" spans="2:11" x14ac:dyDescent="0.2">
      <c r="B20" s="1" t="s">
        <v>588</v>
      </c>
      <c r="C20" s="94">
        <f>D20+E20+F20+G20</f>
        <v>12523.599999999999</v>
      </c>
      <c r="D20" s="95">
        <v>2803.4</v>
      </c>
      <c r="E20" s="95">
        <v>0.1</v>
      </c>
      <c r="F20" s="95">
        <v>250.2</v>
      </c>
      <c r="G20" s="95">
        <v>9469.9</v>
      </c>
      <c r="H20" s="95">
        <v>16825.599999999999</v>
      </c>
      <c r="I20" s="97">
        <v>906.3</v>
      </c>
      <c r="J20" s="97">
        <v>203.6</v>
      </c>
      <c r="K20" s="97">
        <v>41.7</v>
      </c>
    </row>
    <row r="21" spans="2:11" x14ac:dyDescent="0.2">
      <c r="C21" s="10"/>
    </row>
    <row r="22" spans="2:11" x14ac:dyDescent="0.2">
      <c r="B22" s="1" t="s">
        <v>589</v>
      </c>
      <c r="C22" s="94">
        <f>D22+E22+F22+G22</f>
        <v>12535.4</v>
      </c>
      <c r="D22" s="95">
        <v>2785.1</v>
      </c>
      <c r="E22" s="95">
        <v>0.2</v>
      </c>
      <c r="F22" s="95">
        <v>235.6</v>
      </c>
      <c r="G22" s="95">
        <v>9514.5</v>
      </c>
      <c r="H22" s="95">
        <v>17310.599999999999</v>
      </c>
      <c r="I22" s="97">
        <v>863.7</v>
      </c>
      <c r="J22" s="97">
        <v>196.1</v>
      </c>
      <c r="K22" s="97">
        <v>41.5</v>
      </c>
    </row>
    <row r="23" spans="2:11" x14ac:dyDescent="0.2">
      <c r="B23" s="1" t="s">
        <v>24</v>
      </c>
      <c r="C23" s="94">
        <f>D23+E23+F23+G23</f>
        <v>12317.099999999999</v>
      </c>
      <c r="D23" s="95">
        <v>2738.5</v>
      </c>
      <c r="E23" s="95">
        <v>0.3</v>
      </c>
      <c r="F23" s="95">
        <v>236</v>
      </c>
      <c r="G23" s="95">
        <v>9342.2999999999993</v>
      </c>
      <c r="H23" s="95">
        <v>17420</v>
      </c>
      <c r="I23" s="97">
        <v>759.3</v>
      </c>
      <c r="J23" s="97">
        <v>189</v>
      </c>
      <c r="K23" s="97">
        <v>40.1</v>
      </c>
    </row>
    <row r="24" spans="2:11" x14ac:dyDescent="0.2">
      <c r="B24" s="1" t="s">
        <v>161</v>
      </c>
      <c r="C24" s="94">
        <f>D24+E24+F24+G24</f>
        <v>12199.8</v>
      </c>
      <c r="D24" s="5">
        <v>2727.1</v>
      </c>
      <c r="E24" s="5">
        <v>0.2</v>
      </c>
      <c r="F24" s="5">
        <v>211.7</v>
      </c>
      <c r="G24" s="5">
        <v>9260.7999999999993</v>
      </c>
      <c r="H24" s="5">
        <v>17592.099999999999</v>
      </c>
      <c r="I24" s="98">
        <v>697.1</v>
      </c>
      <c r="J24" s="98">
        <v>181.4</v>
      </c>
      <c r="K24" s="98">
        <v>38.6</v>
      </c>
    </row>
    <row r="25" spans="2:11" x14ac:dyDescent="0.2">
      <c r="C25" s="10"/>
    </row>
    <row r="26" spans="2:11" x14ac:dyDescent="0.2">
      <c r="B26" s="1" t="s">
        <v>25</v>
      </c>
      <c r="C26" s="94">
        <f>D26+E26+F26+G26</f>
        <v>12304.199999999999</v>
      </c>
      <c r="D26" s="5">
        <v>2694.8</v>
      </c>
      <c r="E26" s="5">
        <v>0.2</v>
      </c>
      <c r="F26" s="5">
        <v>193.4</v>
      </c>
      <c r="G26" s="5">
        <v>9415.7999999999993</v>
      </c>
      <c r="H26" s="5">
        <v>17622.5</v>
      </c>
      <c r="I26" s="98">
        <v>692.4</v>
      </c>
      <c r="J26" s="98">
        <v>189</v>
      </c>
      <c r="K26" s="98">
        <v>38.4</v>
      </c>
    </row>
    <row r="27" spans="2:11" x14ac:dyDescent="0.2">
      <c r="B27" s="1" t="s">
        <v>162</v>
      </c>
      <c r="C27" s="94">
        <f>D27+E27+F27+G27</f>
        <v>12119</v>
      </c>
      <c r="D27" s="5">
        <v>2673.8</v>
      </c>
      <c r="E27" s="5">
        <v>0.4</v>
      </c>
      <c r="F27" s="5">
        <v>192.9</v>
      </c>
      <c r="G27" s="5">
        <v>9251.9</v>
      </c>
      <c r="H27" s="5">
        <v>17654.900000000001</v>
      </c>
      <c r="I27" s="98">
        <v>721.1</v>
      </c>
      <c r="J27" s="98">
        <v>172.8</v>
      </c>
      <c r="K27" s="98">
        <v>36.9</v>
      </c>
    </row>
    <row r="28" spans="2:11" x14ac:dyDescent="0.2">
      <c r="B28" s="4" t="s">
        <v>53</v>
      </c>
      <c r="C28" s="99">
        <f>D28+E28+F28+G28</f>
        <v>12271.900000000001</v>
      </c>
      <c r="D28" s="26">
        <v>2657.3</v>
      </c>
      <c r="E28" s="26">
        <v>2.1</v>
      </c>
      <c r="F28" s="26">
        <v>190.8</v>
      </c>
      <c r="G28" s="26">
        <v>9421.7000000000007</v>
      </c>
      <c r="H28" s="26">
        <v>17971.400000000001</v>
      </c>
      <c r="I28" s="100">
        <v>632.79999999999995</v>
      </c>
      <c r="J28" s="100">
        <v>192.6</v>
      </c>
      <c r="K28" s="100">
        <v>36.700000000000003</v>
      </c>
    </row>
    <row r="29" spans="2:11" ht="18" thickBot="1" x14ac:dyDescent="0.25">
      <c r="B29" s="51"/>
      <c r="C29" s="23"/>
      <c r="D29" s="51"/>
      <c r="E29" s="51"/>
      <c r="F29" s="51"/>
      <c r="G29" s="51"/>
      <c r="H29" s="51"/>
      <c r="I29" s="51"/>
      <c r="J29" s="51"/>
      <c r="K29" s="51"/>
    </row>
    <row r="30" spans="2:11" x14ac:dyDescent="0.2">
      <c r="B30" s="21"/>
      <c r="C30" s="1" t="s">
        <v>607</v>
      </c>
      <c r="D30" s="21"/>
      <c r="E30" s="21"/>
      <c r="F30" s="21"/>
      <c r="G30" s="21"/>
      <c r="H30" s="21"/>
      <c r="I30" s="21"/>
      <c r="J30" s="21"/>
      <c r="K30" s="21"/>
    </row>
    <row r="31" spans="2:11" x14ac:dyDescent="0.2">
      <c r="C31" s="1" t="s">
        <v>608</v>
      </c>
    </row>
    <row r="32" spans="2:11" x14ac:dyDescent="0.2">
      <c r="C32" s="1" t="s">
        <v>609</v>
      </c>
    </row>
    <row r="33" spans="1:3" x14ac:dyDescent="0.2">
      <c r="C33" s="1" t="s">
        <v>55</v>
      </c>
    </row>
    <row r="34" spans="1:3" x14ac:dyDescent="0.2">
      <c r="A34" s="1"/>
      <c r="C34" s="21"/>
    </row>
  </sheetData>
  <phoneticPr fontId="2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3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256" width="12.125" style="2"/>
    <col min="257" max="257" width="13.375" style="2" customWidth="1"/>
    <col min="258" max="258" width="19.625" style="2" customWidth="1"/>
    <col min="259" max="259" width="13.375" style="2" customWidth="1"/>
    <col min="260" max="512" width="12.125" style="2"/>
    <col min="513" max="513" width="13.375" style="2" customWidth="1"/>
    <col min="514" max="514" width="19.625" style="2" customWidth="1"/>
    <col min="515" max="515" width="13.375" style="2" customWidth="1"/>
    <col min="516" max="768" width="12.125" style="2"/>
    <col min="769" max="769" width="13.375" style="2" customWidth="1"/>
    <col min="770" max="770" width="19.625" style="2" customWidth="1"/>
    <col min="771" max="771" width="13.375" style="2" customWidth="1"/>
    <col min="772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384" width="12.125" style="2"/>
  </cols>
  <sheetData>
    <row r="1" spans="1:11" x14ac:dyDescent="0.2">
      <c r="A1" s="1"/>
    </row>
    <row r="3" spans="1:11" x14ac:dyDescent="0.2">
      <c r="A3" s="1" t="s">
        <v>70</v>
      </c>
    </row>
    <row r="6" spans="1:11" x14ac:dyDescent="0.2">
      <c r="D6" s="4" t="s">
        <v>291</v>
      </c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9" t="s">
        <v>292</v>
      </c>
    </row>
    <row r="8" spans="1:11" x14ac:dyDescent="0.2">
      <c r="C8" s="10"/>
      <c r="D8" s="12"/>
      <c r="E8" s="12"/>
      <c r="F8" s="12"/>
      <c r="G8" s="14"/>
      <c r="H8" s="31" t="s">
        <v>293</v>
      </c>
      <c r="I8" s="12"/>
      <c r="J8" s="12"/>
      <c r="K8" s="12"/>
    </row>
    <row r="9" spans="1:11" x14ac:dyDescent="0.2">
      <c r="C9" s="16" t="s">
        <v>294</v>
      </c>
      <c r="D9" s="16" t="s">
        <v>295</v>
      </c>
      <c r="E9" s="16" t="s">
        <v>296</v>
      </c>
      <c r="F9" s="16" t="s">
        <v>297</v>
      </c>
      <c r="G9" s="10"/>
      <c r="H9" s="10"/>
      <c r="I9" s="16" t="s">
        <v>298</v>
      </c>
      <c r="J9" s="13" t="s">
        <v>299</v>
      </c>
      <c r="K9" s="13" t="s">
        <v>300</v>
      </c>
    </row>
    <row r="10" spans="1:11" ht="18" thickBot="1" x14ac:dyDescent="0.25">
      <c r="B10" s="6"/>
      <c r="C10" s="41" t="s">
        <v>301</v>
      </c>
      <c r="D10" s="41" t="s">
        <v>302</v>
      </c>
      <c r="E10" s="41" t="s">
        <v>303</v>
      </c>
      <c r="F10" s="41" t="s">
        <v>304</v>
      </c>
      <c r="G10" s="41" t="s">
        <v>305</v>
      </c>
      <c r="H10" s="41" t="s">
        <v>306</v>
      </c>
      <c r="I10" s="41" t="s">
        <v>307</v>
      </c>
      <c r="J10" s="41" t="s">
        <v>307</v>
      </c>
      <c r="K10" s="42" t="s">
        <v>308</v>
      </c>
    </row>
    <row r="11" spans="1:11" x14ac:dyDescent="0.2">
      <c r="B11" s="21"/>
      <c r="C11" s="10"/>
    </row>
    <row r="12" spans="1:11" x14ac:dyDescent="0.2">
      <c r="B12" s="1" t="s">
        <v>309</v>
      </c>
      <c r="C12" s="18">
        <f t="shared" ref="C12:C18" si="0">D12+E12+F12</f>
        <v>430146</v>
      </c>
      <c r="D12" s="5">
        <v>345835</v>
      </c>
      <c r="E12" s="5">
        <v>75204</v>
      </c>
      <c r="F12" s="5">
        <v>9107</v>
      </c>
      <c r="G12" s="5">
        <v>335448</v>
      </c>
      <c r="H12" s="5">
        <v>45070</v>
      </c>
      <c r="I12" s="19" t="s">
        <v>139</v>
      </c>
      <c r="J12" s="19" t="s">
        <v>139</v>
      </c>
      <c r="K12" s="19" t="s">
        <v>139</v>
      </c>
    </row>
    <row r="13" spans="1:11" x14ac:dyDescent="0.2">
      <c r="B13" s="1" t="s">
        <v>182</v>
      </c>
      <c r="C13" s="18">
        <f t="shared" si="0"/>
        <v>432903</v>
      </c>
      <c r="D13" s="5">
        <v>348165</v>
      </c>
      <c r="E13" s="5">
        <v>79005</v>
      </c>
      <c r="F13" s="5">
        <v>5733</v>
      </c>
      <c r="G13" s="5">
        <v>343080</v>
      </c>
      <c r="H13" s="5">
        <v>47886</v>
      </c>
      <c r="I13" s="19" t="s">
        <v>139</v>
      </c>
      <c r="J13" s="19" t="s">
        <v>139</v>
      </c>
      <c r="K13" s="19" t="s">
        <v>139</v>
      </c>
    </row>
    <row r="14" spans="1:11" x14ac:dyDescent="0.2">
      <c r="B14" s="1" t="s">
        <v>183</v>
      </c>
      <c r="C14" s="18">
        <f t="shared" si="0"/>
        <v>435490</v>
      </c>
      <c r="D14" s="5">
        <v>346569</v>
      </c>
      <c r="E14" s="5">
        <v>81735</v>
      </c>
      <c r="F14" s="5">
        <v>7186</v>
      </c>
      <c r="G14" s="5">
        <v>331465</v>
      </c>
      <c r="H14" s="5">
        <v>40169</v>
      </c>
      <c r="I14" s="19" t="s">
        <v>139</v>
      </c>
      <c r="J14" s="19" t="s">
        <v>139</v>
      </c>
      <c r="K14" s="19" t="s">
        <v>139</v>
      </c>
    </row>
    <row r="15" spans="1:11" x14ac:dyDescent="0.2">
      <c r="B15" s="1" t="s">
        <v>184</v>
      </c>
      <c r="C15" s="18">
        <f t="shared" si="0"/>
        <v>438280</v>
      </c>
      <c r="D15" s="5">
        <v>347157</v>
      </c>
      <c r="E15" s="5">
        <v>82909</v>
      </c>
      <c r="F15" s="5">
        <v>8214</v>
      </c>
      <c r="G15" s="5">
        <v>330058</v>
      </c>
      <c r="H15" s="5">
        <v>39251</v>
      </c>
      <c r="I15" s="19" t="s">
        <v>139</v>
      </c>
      <c r="J15" s="19" t="s">
        <v>139</v>
      </c>
      <c r="K15" s="19" t="s">
        <v>139</v>
      </c>
    </row>
    <row r="16" spans="1:11" x14ac:dyDescent="0.2">
      <c r="B16" s="1" t="s">
        <v>185</v>
      </c>
      <c r="C16" s="18">
        <f t="shared" si="0"/>
        <v>431849</v>
      </c>
      <c r="D16" s="5">
        <v>343120</v>
      </c>
      <c r="E16" s="5">
        <v>85407</v>
      </c>
      <c r="F16" s="5">
        <v>3322</v>
      </c>
      <c r="G16" s="5">
        <v>331191</v>
      </c>
      <c r="H16" s="5">
        <v>39554</v>
      </c>
      <c r="I16" s="5">
        <v>17666</v>
      </c>
      <c r="J16" s="19" t="s">
        <v>139</v>
      </c>
      <c r="K16" s="19" t="s">
        <v>139</v>
      </c>
    </row>
    <row r="17" spans="2:11" x14ac:dyDescent="0.2">
      <c r="B17" s="1" t="s">
        <v>310</v>
      </c>
      <c r="C17" s="18">
        <f t="shared" si="0"/>
        <v>427680</v>
      </c>
      <c r="D17" s="5">
        <v>338880</v>
      </c>
      <c r="E17" s="5">
        <v>85907</v>
      </c>
      <c r="F17" s="5">
        <v>2893</v>
      </c>
      <c r="G17" s="5">
        <v>330164</v>
      </c>
      <c r="H17" s="5">
        <v>37229</v>
      </c>
      <c r="I17" s="5">
        <v>17899</v>
      </c>
      <c r="J17" s="5">
        <v>5568</v>
      </c>
      <c r="K17" s="5">
        <v>33927</v>
      </c>
    </row>
    <row r="18" spans="2:11" x14ac:dyDescent="0.2">
      <c r="B18" s="4" t="s">
        <v>311</v>
      </c>
      <c r="C18" s="20">
        <f t="shared" si="0"/>
        <v>431355</v>
      </c>
      <c r="D18" s="21">
        <f t="shared" ref="D18:K18" si="1">SUM(D20:D70)</f>
        <v>344279</v>
      </c>
      <c r="E18" s="21">
        <f t="shared" si="1"/>
        <v>83282</v>
      </c>
      <c r="F18" s="21">
        <f t="shared" si="1"/>
        <v>3794</v>
      </c>
      <c r="G18" s="21">
        <f t="shared" si="1"/>
        <v>329813</v>
      </c>
      <c r="H18" s="21">
        <f t="shared" si="1"/>
        <v>36381</v>
      </c>
      <c r="I18" s="21">
        <f t="shared" si="1"/>
        <v>19108</v>
      </c>
      <c r="J18" s="21">
        <f t="shared" si="1"/>
        <v>5235</v>
      </c>
      <c r="K18" s="21">
        <f t="shared" si="1"/>
        <v>37024</v>
      </c>
    </row>
    <row r="19" spans="2:11" x14ac:dyDescent="0.2">
      <c r="C19" s="10"/>
    </row>
    <row r="20" spans="2:11" x14ac:dyDescent="0.2">
      <c r="B20" s="1" t="s">
        <v>239</v>
      </c>
      <c r="C20" s="18">
        <f t="shared" ref="C20:C26" si="2">D20+E20+F20</f>
        <v>168264</v>
      </c>
      <c r="D20" s="5">
        <v>126514</v>
      </c>
      <c r="E20" s="5">
        <v>41750</v>
      </c>
      <c r="F20" s="19" t="s">
        <v>312</v>
      </c>
      <c r="G20" s="5">
        <v>142069</v>
      </c>
      <c r="H20" s="5">
        <v>143</v>
      </c>
      <c r="I20" s="5">
        <v>13735</v>
      </c>
      <c r="J20" s="19" t="s">
        <v>312</v>
      </c>
      <c r="K20" s="43">
        <f t="shared" ref="K20:K26" si="3">D20+E20-SUM(G20:J20)</f>
        <v>12317</v>
      </c>
    </row>
    <row r="21" spans="2:11" x14ac:dyDescent="0.2">
      <c r="B21" s="1" t="s">
        <v>240</v>
      </c>
      <c r="C21" s="18">
        <f t="shared" si="2"/>
        <v>20334</v>
      </c>
      <c r="D21" s="5">
        <v>14970</v>
      </c>
      <c r="E21" s="5">
        <v>5364</v>
      </c>
      <c r="F21" s="19" t="s">
        <v>312</v>
      </c>
      <c r="G21" s="5">
        <v>16895</v>
      </c>
      <c r="H21" s="5">
        <v>2235</v>
      </c>
      <c r="I21" s="19" t="s">
        <v>312</v>
      </c>
      <c r="J21" s="19" t="s">
        <v>312</v>
      </c>
      <c r="K21" s="43">
        <f t="shared" si="3"/>
        <v>1204</v>
      </c>
    </row>
    <row r="22" spans="2:11" x14ac:dyDescent="0.2">
      <c r="B22" s="1" t="s">
        <v>241</v>
      </c>
      <c r="C22" s="18">
        <f t="shared" si="2"/>
        <v>17822</v>
      </c>
      <c r="D22" s="5">
        <v>15845</v>
      </c>
      <c r="E22" s="5">
        <v>1972</v>
      </c>
      <c r="F22" s="5">
        <v>5</v>
      </c>
      <c r="G22" s="5">
        <v>13510</v>
      </c>
      <c r="H22" s="5">
        <v>1703</v>
      </c>
      <c r="I22" s="19" t="s">
        <v>312</v>
      </c>
      <c r="J22" s="19" t="s">
        <v>312</v>
      </c>
      <c r="K22" s="43">
        <f t="shared" si="3"/>
        <v>2604</v>
      </c>
    </row>
    <row r="23" spans="2:11" x14ac:dyDescent="0.2">
      <c r="B23" s="1" t="s">
        <v>242</v>
      </c>
      <c r="C23" s="18">
        <f t="shared" si="2"/>
        <v>11390</v>
      </c>
      <c r="D23" s="5">
        <v>10497</v>
      </c>
      <c r="E23" s="5">
        <v>835</v>
      </c>
      <c r="F23" s="5">
        <v>58</v>
      </c>
      <c r="G23" s="5">
        <v>8868</v>
      </c>
      <c r="H23" s="19" t="s">
        <v>312</v>
      </c>
      <c r="I23" s="5">
        <v>1618</v>
      </c>
      <c r="J23" s="19" t="s">
        <v>312</v>
      </c>
      <c r="K23" s="43">
        <f t="shared" si="3"/>
        <v>846</v>
      </c>
    </row>
    <row r="24" spans="2:11" x14ac:dyDescent="0.2">
      <c r="B24" s="1" t="s">
        <v>243</v>
      </c>
      <c r="C24" s="18">
        <f t="shared" si="2"/>
        <v>10120</v>
      </c>
      <c r="D24" s="5">
        <v>9009</v>
      </c>
      <c r="E24" s="5">
        <v>1111</v>
      </c>
      <c r="F24" s="19" t="s">
        <v>312</v>
      </c>
      <c r="G24" s="5">
        <v>8320</v>
      </c>
      <c r="H24" s="19" t="s">
        <v>312</v>
      </c>
      <c r="I24" s="5">
        <v>795</v>
      </c>
      <c r="J24" s="19" t="s">
        <v>312</v>
      </c>
      <c r="K24" s="43">
        <f t="shared" si="3"/>
        <v>1005</v>
      </c>
    </row>
    <row r="25" spans="2:11" x14ac:dyDescent="0.2">
      <c r="B25" s="1" t="s">
        <v>244</v>
      </c>
      <c r="C25" s="18">
        <f t="shared" si="2"/>
        <v>31873</v>
      </c>
      <c r="D25" s="5">
        <v>26264</v>
      </c>
      <c r="E25" s="5">
        <v>5609</v>
      </c>
      <c r="F25" s="19" t="s">
        <v>312</v>
      </c>
      <c r="G25" s="5">
        <v>19395</v>
      </c>
      <c r="H25" s="5">
        <v>9931</v>
      </c>
      <c r="I25" s="19" t="s">
        <v>312</v>
      </c>
      <c r="J25" s="19" t="s">
        <v>312</v>
      </c>
      <c r="K25" s="43">
        <f t="shared" si="3"/>
        <v>2547</v>
      </c>
    </row>
    <row r="26" spans="2:11" x14ac:dyDescent="0.2">
      <c r="B26" s="1" t="s">
        <v>245</v>
      </c>
      <c r="C26" s="18">
        <f t="shared" si="2"/>
        <v>16762</v>
      </c>
      <c r="D26" s="5">
        <v>12830</v>
      </c>
      <c r="E26" s="5">
        <v>3932</v>
      </c>
      <c r="F26" s="19" t="s">
        <v>312</v>
      </c>
      <c r="G26" s="5">
        <v>14372</v>
      </c>
      <c r="H26" s="5">
        <v>73</v>
      </c>
      <c r="I26" s="19" t="s">
        <v>312</v>
      </c>
      <c r="J26" s="5">
        <v>1568</v>
      </c>
      <c r="K26" s="43">
        <f t="shared" si="3"/>
        <v>749</v>
      </c>
    </row>
    <row r="27" spans="2:11" x14ac:dyDescent="0.2">
      <c r="C27" s="10"/>
    </row>
    <row r="28" spans="2:11" x14ac:dyDescent="0.2">
      <c r="B28" s="1" t="s">
        <v>246</v>
      </c>
      <c r="C28" s="18">
        <f t="shared" ref="C28:C70" si="4">D28+E28+F28</f>
        <v>5175</v>
      </c>
      <c r="D28" s="5">
        <v>4696</v>
      </c>
      <c r="E28" s="5">
        <v>479</v>
      </c>
      <c r="F28" s="19" t="s">
        <v>312</v>
      </c>
      <c r="G28" s="5">
        <v>4058</v>
      </c>
      <c r="H28" s="5">
        <v>897</v>
      </c>
      <c r="I28" s="19" t="s">
        <v>312</v>
      </c>
      <c r="J28" s="19" t="s">
        <v>312</v>
      </c>
      <c r="K28" s="43">
        <f t="shared" ref="K28:K70" si="5">D28+E28-SUM(G28:J28)</f>
        <v>220</v>
      </c>
    </row>
    <row r="29" spans="2:11" x14ac:dyDescent="0.2">
      <c r="B29" s="1" t="s">
        <v>247</v>
      </c>
      <c r="C29" s="18">
        <f t="shared" si="4"/>
        <v>3758</v>
      </c>
      <c r="D29" s="5">
        <v>2666</v>
      </c>
      <c r="E29" s="5">
        <v>1092</v>
      </c>
      <c r="F29" s="19" t="s">
        <v>312</v>
      </c>
      <c r="G29" s="19" t="s">
        <v>312</v>
      </c>
      <c r="H29" s="5">
        <v>3758</v>
      </c>
      <c r="I29" s="19" t="s">
        <v>312</v>
      </c>
      <c r="J29" s="19" t="s">
        <v>312</v>
      </c>
      <c r="K29" s="44" t="s">
        <v>312</v>
      </c>
    </row>
    <row r="30" spans="2:11" x14ac:dyDescent="0.2">
      <c r="B30" s="1" t="s">
        <v>248</v>
      </c>
      <c r="C30" s="18">
        <f t="shared" si="4"/>
        <v>2049</v>
      </c>
      <c r="D30" s="5">
        <v>1401</v>
      </c>
      <c r="E30" s="19" t="s">
        <v>312</v>
      </c>
      <c r="F30" s="5">
        <v>648</v>
      </c>
      <c r="G30" s="5">
        <v>30</v>
      </c>
      <c r="H30" s="5">
        <v>1232</v>
      </c>
      <c r="I30" s="19" t="s">
        <v>312</v>
      </c>
      <c r="J30" s="19" t="s">
        <v>312</v>
      </c>
      <c r="K30" s="43">
        <f t="shared" si="5"/>
        <v>139</v>
      </c>
    </row>
    <row r="31" spans="2:11" x14ac:dyDescent="0.2">
      <c r="B31" s="1" t="s">
        <v>249</v>
      </c>
      <c r="C31" s="18">
        <f t="shared" si="4"/>
        <v>5447</v>
      </c>
      <c r="D31" s="5">
        <v>5376</v>
      </c>
      <c r="E31" s="5">
        <v>71</v>
      </c>
      <c r="F31" s="19" t="s">
        <v>312</v>
      </c>
      <c r="G31" s="5">
        <v>4372</v>
      </c>
      <c r="H31" s="19" t="s">
        <v>312</v>
      </c>
      <c r="I31" s="19" t="s">
        <v>312</v>
      </c>
      <c r="J31" s="19" t="s">
        <v>312</v>
      </c>
      <c r="K31" s="43">
        <f t="shared" si="5"/>
        <v>1075</v>
      </c>
    </row>
    <row r="32" spans="2:11" x14ac:dyDescent="0.2">
      <c r="B32" s="1" t="s">
        <v>250</v>
      </c>
      <c r="C32" s="18">
        <f t="shared" si="4"/>
        <v>6250</v>
      </c>
      <c r="D32" s="5">
        <v>6180</v>
      </c>
      <c r="E32" s="5">
        <v>70</v>
      </c>
      <c r="F32" s="19" t="s">
        <v>312</v>
      </c>
      <c r="G32" s="5">
        <v>4830</v>
      </c>
      <c r="H32" s="5">
        <v>360</v>
      </c>
      <c r="I32" s="19" t="s">
        <v>312</v>
      </c>
      <c r="J32" s="5">
        <v>310</v>
      </c>
      <c r="K32" s="43">
        <f t="shared" si="5"/>
        <v>750</v>
      </c>
    </row>
    <row r="33" spans="2:11" x14ac:dyDescent="0.2">
      <c r="B33" s="1" t="s">
        <v>251</v>
      </c>
      <c r="C33" s="18">
        <f t="shared" si="4"/>
        <v>3227</v>
      </c>
      <c r="D33" s="5">
        <v>2437</v>
      </c>
      <c r="E33" s="5">
        <v>790</v>
      </c>
      <c r="F33" s="19" t="s">
        <v>312</v>
      </c>
      <c r="G33" s="5">
        <v>2813</v>
      </c>
      <c r="H33" s="19" t="s">
        <v>312</v>
      </c>
      <c r="I33" s="19" t="s">
        <v>312</v>
      </c>
      <c r="J33" s="19" t="s">
        <v>312</v>
      </c>
      <c r="K33" s="43">
        <f t="shared" si="5"/>
        <v>414</v>
      </c>
    </row>
    <row r="34" spans="2:11" x14ac:dyDescent="0.2">
      <c r="B34" s="1" t="s">
        <v>252</v>
      </c>
      <c r="C34" s="18">
        <f t="shared" si="4"/>
        <v>1585</v>
      </c>
      <c r="D34" s="5">
        <v>1428</v>
      </c>
      <c r="E34" s="5">
        <v>157</v>
      </c>
      <c r="F34" s="19" t="s">
        <v>312</v>
      </c>
      <c r="G34" s="5">
        <v>1202</v>
      </c>
      <c r="H34" s="19" t="s">
        <v>312</v>
      </c>
      <c r="I34" s="5">
        <v>263</v>
      </c>
      <c r="J34" s="19" t="s">
        <v>312</v>
      </c>
      <c r="K34" s="43">
        <f t="shared" si="5"/>
        <v>120</v>
      </c>
    </row>
    <row r="35" spans="2:11" x14ac:dyDescent="0.2">
      <c r="B35" s="1" t="s">
        <v>253</v>
      </c>
      <c r="C35" s="18">
        <f t="shared" si="4"/>
        <v>5105</v>
      </c>
      <c r="D35" s="5">
        <v>4844</v>
      </c>
      <c r="E35" s="5">
        <v>261</v>
      </c>
      <c r="F35" s="19" t="s">
        <v>312</v>
      </c>
      <c r="G35" s="5">
        <v>4031</v>
      </c>
      <c r="H35" s="19" t="s">
        <v>312</v>
      </c>
      <c r="I35" s="5">
        <v>510</v>
      </c>
      <c r="J35" s="19" t="s">
        <v>312</v>
      </c>
      <c r="K35" s="43">
        <f t="shared" si="5"/>
        <v>564</v>
      </c>
    </row>
    <row r="36" spans="2:11" x14ac:dyDescent="0.2">
      <c r="B36" s="1" t="s">
        <v>254</v>
      </c>
      <c r="C36" s="18">
        <f t="shared" si="4"/>
        <v>16367</v>
      </c>
      <c r="D36" s="5">
        <v>15196</v>
      </c>
      <c r="E36" s="5">
        <v>1171</v>
      </c>
      <c r="F36" s="19" t="s">
        <v>312</v>
      </c>
      <c r="G36" s="5">
        <v>14339</v>
      </c>
      <c r="H36" s="19" t="s">
        <v>312</v>
      </c>
      <c r="I36" s="19" t="s">
        <v>312</v>
      </c>
      <c r="J36" s="19" t="s">
        <v>312</v>
      </c>
      <c r="K36" s="43">
        <f t="shared" si="5"/>
        <v>2028</v>
      </c>
    </row>
    <row r="37" spans="2:11" x14ac:dyDescent="0.2">
      <c r="B37" s="1" t="s">
        <v>255</v>
      </c>
      <c r="C37" s="18">
        <f t="shared" si="4"/>
        <v>6448</v>
      </c>
      <c r="D37" s="5">
        <v>4188</v>
      </c>
      <c r="E37" s="5">
        <v>975</v>
      </c>
      <c r="F37" s="5">
        <v>1285</v>
      </c>
      <c r="G37" s="5">
        <v>4027</v>
      </c>
      <c r="H37" s="19" t="s">
        <v>312</v>
      </c>
      <c r="I37" s="19" t="s">
        <v>312</v>
      </c>
      <c r="J37" s="19" t="s">
        <v>312</v>
      </c>
      <c r="K37" s="43">
        <f t="shared" si="5"/>
        <v>1136</v>
      </c>
    </row>
    <row r="38" spans="2:11" x14ac:dyDescent="0.2">
      <c r="B38" s="1" t="s">
        <v>256</v>
      </c>
      <c r="C38" s="18">
        <f t="shared" si="4"/>
        <v>4831</v>
      </c>
      <c r="D38" s="5">
        <v>3992</v>
      </c>
      <c r="E38" s="5">
        <v>839</v>
      </c>
      <c r="F38" s="19" t="s">
        <v>312</v>
      </c>
      <c r="G38" s="5">
        <v>4083</v>
      </c>
      <c r="H38" s="19" t="s">
        <v>312</v>
      </c>
      <c r="I38" s="19" t="s">
        <v>312</v>
      </c>
      <c r="J38" s="19" t="s">
        <v>312</v>
      </c>
      <c r="K38" s="43">
        <f t="shared" si="5"/>
        <v>748</v>
      </c>
    </row>
    <row r="39" spans="2:11" x14ac:dyDescent="0.2">
      <c r="B39" s="1" t="s">
        <v>257</v>
      </c>
      <c r="C39" s="18">
        <f t="shared" si="4"/>
        <v>2648</v>
      </c>
      <c r="D39" s="5">
        <v>2068</v>
      </c>
      <c r="E39" s="5">
        <v>515</v>
      </c>
      <c r="F39" s="5">
        <v>65</v>
      </c>
      <c r="G39" s="19" t="s">
        <v>312</v>
      </c>
      <c r="H39" s="5">
        <v>1838</v>
      </c>
      <c r="I39" s="19" t="s">
        <v>312</v>
      </c>
      <c r="J39" s="19" t="s">
        <v>312</v>
      </c>
      <c r="K39" s="43">
        <f t="shared" si="5"/>
        <v>745</v>
      </c>
    </row>
    <row r="40" spans="2:11" x14ac:dyDescent="0.2">
      <c r="B40" s="1" t="s">
        <v>258</v>
      </c>
      <c r="C40" s="18">
        <f t="shared" si="4"/>
        <v>4311</v>
      </c>
      <c r="D40" s="5">
        <v>3390</v>
      </c>
      <c r="E40" s="5">
        <v>889</v>
      </c>
      <c r="F40" s="5">
        <v>32</v>
      </c>
      <c r="G40" s="5">
        <v>2504</v>
      </c>
      <c r="H40" s="5">
        <v>1111</v>
      </c>
      <c r="I40" s="19" t="s">
        <v>312</v>
      </c>
      <c r="J40" s="19" t="s">
        <v>312</v>
      </c>
      <c r="K40" s="43">
        <f t="shared" si="5"/>
        <v>664</v>
      </c>
    </row>
    <row r="41" spans="2:11" x14ac:dyDescent="0.2">
      <c r="B41" s="1" t="s">
        <v>259</v>
      </c>
      <c r="C41" s="18">
        <f t="shared" si="4"/>
        <v>156</v>
      </c>
      <c r="D41" s="5">
        <v>137</v>
      </c>
      <c r="E41" s="5">
        <v>19</v>
      </c>
      <c r="F41" s="19" t="s">
        <v>312</v>
      </c>
      <c r="G41" s="5">
        <v>127</v>
      </c>
      <c r="H41" s="19" t="s">
        <v>312</v>
      </c>
      <c r="I41" s="19" t="s">
        <v>312</v>
      </c>
      <c r="J41" s="19" t="s">
        <v>312</v>
      </c>
      <c r="K41" s="43">
        <f t="shared" si="5"/>
        <v>29</v>
      </c>
    </row>
    <row r="42" spans="2:11" x14ac:dyDescent="0.2">
      <c r="B42" s="1" t="s">
        <v>260</v>
      </c>
      <c r="C42" s="18">
        <f t="shared" si="4"/>
        <v>6425</v>
      </c>
      <c r="D42" s="5">
        <v>5861</v>
      </c>
      <c r="E42" s="5">
        <v>564</v>
      </c>
      <c r="F42" s="19" t="s">
        <v>312</v>
      </c>
      <c r="G42" s="5">
        <v>5636</v>
      </c>
      <c r="H42" s="19" t="s">
        <v>312</v>
      </c>
      <c r="I42" s="19" t="s">
        <v>312</v>
      </c>
      <c r="J42" s="19" t="s">
        <v>312</v>
      </c>
      <c r="K42" s="43">
        <f t="shared" si="5"/>
        <v>789</v>
      </c>
    </row>
    <row r="43" spans="2:11" x14ac:dyDescent="0.2">
      <c r="B43" s="1" t="s">
        <v>261</v>
      </c>
      <c r="C43" s="18">
        <f t="shared" si="4"/>
        <v>3013</v>
      </c>
      <c r="D43" s="5">
        <v>2776</v>
      </c>
      <c r="E43" s="5">
        <v>237</v>
      </c>
      <c r="F43" s="19" t="s">
        <v>312</v>
      </c>
      <c r="G43" s="5">
        <v>1765</v>
      </c>
      <c r="H43" s="5">
        <v>1248</v>
      </c>
      <c r="I43" s="19" t="s">
        <v>312</v>
      </c>
      <c r="J43" s="19" t="s">
        <v>312</v>
      </c>
      <c r="K43" s="44" t="s">
        <v>312</v>
      </c>
    </row>
    <row r="44" spans="2:11" x14ac:dyDescent="0.2">
      <c r="B44" s="1" t="s">
        <v>262</v>
      </c>
      <c r="C44" s="18">
        <f t="shared" si="4"/>
        <v>4429</v>
      </c>
      <c r="D44" s="5">
        <v>3681</v>
      </c>
      <c r="E44" s="5">
        <v>748</v>
      </c>
      <c r="F44" s="19" t="s">
        <v>312</v>
      </c>
      <c r="G44" s="5">
        <v>3427</v>
      </c>
      <c r="H44" s="19" t="s">
        <v>312</v>
      </c>
      <c r="I44" s="5">
        <v>467</v>
      </c>
      <c r="J44" s="19" t="s">
        <v>312</v>
      </c>
      <c r="K44" s="43">
        <f t="shared" si="5"/>
        <v>535</v>
      </c>
    </row>
    <row r="45" spans="2:11" x14ac:dyDescent="0.2">
      <c r="B45" s="1" t="s">
        <v>263</v>
      </c>
      <c r="C45" s="18">
        <f t="shared" si="4"/>
        <v>4728</v>
      </c>
      <c r="D45" s="5">
        <v>1899</v>
      </c>
      <c r="E45" s="5">
        <v>2829</v>
      </c>
      <c r="F45" s="19" t="s">
        <v>312</v>
      </c>
      <c r="G45" s="5">
        <v>1481</v>
      </c>
      <c r="H45" s="5">
        <v>2689</v>
      </c>
      <c r="I45" s="5">
        <v>298</v>
      </c>
      <c r="J45" s="19" t="s">
        <v>312</v>
      </c>
      <c r="K45" s="43">
        <f t="shared" si="5"/>
        <v>260</v>
      </c>
    </row>
    <row r="46" spans="2:11" x14ac:dyDescent="0.2">
      <c r="B46" s="1" t="s">
        <v>264</v>
      </c>
      <c r="C46" s="18">
        <f t="shared" si="4"/>
        <v>702</v>
      </c>
      <c r="D46" s="5">
        <v>466</v>
      </c>
      <c r="E46" s="5">
        <v>23</v>
      </c>
      <c r="F46" s="5">
        <v>213</v>
      </c>
      <c r="G46" s="5">
        <v>332</v>
      </c>
      <c r="H46" s="5">
        <v>38</v>
      </c>
      <c r="I46" s="5">
        <v>119</v>
      </c>
      <c r="J46" s="19" t="s">
        <v>312</v>
      </c>
      <c r="K46" s="44" t="s">
        <v>312</v>
      </c>
    </row>
    <row r="47" spans="2:11" x14ac:dyDescent="0.2">
      <c r="B47" s="1" t="s">
        <v>265</v>
      </c>
      <c r="C47" s="18">
        <f t="shared" si="4"/>
        <v>2369</v>
      </c>
      <c r="D47" s="5">
        <v>2251</v>
      </c>
      <c r="E47" s="5">
        <v>118</v>
      </c>
      <c r="F47" s="19" t="s">
        <v>312</v>
      </c>
      <c r="G47" s="5">
        <v>1926</v>
      </c>
      <c r="H47" s="19" t="s">
        <v>312</v>
      </c>
      <c r="I47" s="5">
        <v>211</v>
      </c>
      <c r="J47" s="19" t="s">
        <v>312</v>
      </c>
      <c r="K47" s="43">
        <f t="shared" si="5"/>
        <v>232</v>
      </c>
    </row>
    <row r="48" spans="2:11" x14ac:dyDescent="0.2">
      <c r="B48" s="1" t="s">
        <v>266</v>
      </c>
      <c r="C48" s="18">
        <f t="shared" si="4"/>
        <v>1495</v>
      </c>
      <c r="D48" s="5">
        <v>1417</v>
      </c>
      <c r="E48" s="5">
        <v>78</v>
      </c>
      <c r="F48" s="19" t="s">
        <v>312</v>
      </c>
      <c r="G48" s="5">
        <v>1157</v>
      </c>
      <c r="H48" s="19" t="s">
        <v>312</v>
      </c>
      <c r="I48" s="5">
        <v>105</v>
      </c>
      <c r="J48" s="19" t="s">
        <v>312</v>
      </c>
      <c r="K48" s="43">
        <f t="shared" si="5"/>
        <v>233</v>
      </c>
    </row>
    <row r="49" spans="2:11" x14ac:dyDescent="0.2">
      <c r="B49" s="1" t="s">
        <v>267</v>
      </c>
      <c r="C49" s="18">
        <f t="shared" si="4"/>
        <v>1534</v>
      </c>
      <c r="D49" s="5">
        <v>1479</v>
      </c>
      <c r="E49" s="5">
        <v>55</v>
      </c>
      <c r="F49" s="19" t="s">
        <v>312</v>
      </c>
      <c r="G49" s="5">
        <v>1216</v>
      </c>
      <c r="H49" s="19" t="s">
        <v>312</v>
      </c>
      <c r="I49" s="5">
        <v>162</v>
      </c>
      <c r="J49" s="19" t="s">
        <v>312</v>
      </c>
      <c r="K49" s="43">
        <f t="shared" si="5"/>
        <v>156</v>
      </c>
    </row>
    <row r="50" spans="2:11" x14ac:dyDescent="0.2">
      <c r="B50" s="1" t="s">
        <v>268</v>
      </c>
      <c r="C50" s="18">
        <f t="shared" si="4"/>
        <v>1265</v>
      </c>
      <c r="D50" s="5">
        <v>1225</v>
      </c>
      <c r="E50" s="5">
        <v>40</v>
      </c>
      <c r="F50" s="19" t="s">
        <v>312</v>
      </c>
      <c r="G50" s="5">
        <v>1080</v>
      </c>
      <c r="H50" s="19" t="s">
        <v>312</v>
      </c>
      <c r="I50" s="5">
        <v>75</v>
      </c>
      <c r="J50" s="19" t="s">
        <v>312</v>
      </c>
      <c r="K50" s="43">
        <f t="shared" si="5"/>
        <v>110</v>
      </c>
    </row>
    <row r="51" spans="2:11" x14ac:dyDescent="0.2">
      <c r="B51" s="1" t="s">
        <v>269</v>
      </c>
      <c r="C51" s="18">
        <f t="shared" si="4"/>
        <v>307</v>
      </c>
      <c r="D51" s="5">
        <v>288</v>
      </c>
      <c r="E51" s="5">
        <v>19</v>
      </c>
      <c r="F51" s="19" t="s">
        <v>312</v>
      </c>
      <c r="G51" s="5">
        <v>172</v>
      </c>
      <c r="H51" s="19" t="s">
        <v>312</v>
      </c>
      <c r="I51" s="5">
        <v>47</v>
      </c>
      <c r="J51" s="19" t="s">
        <v>312</v>
      </c>
      <c r="K51" s="43">
        <f t="shared" si="5"/>
        <v>88</v>
      </c>
    </row>
    <row r="52" spans="2:11" x14ac:dyDescent="0.2">
      <c r="B52" s="1" t="s">
        <v>270</v>
      </c>
      <c r="C52" s="18">
        <f t="shared" si="4"/>
        <v>176</v>
      </c>
      <c r="D52" s="5">
        <v>163</v>
      </c>
      <c r="E52" s="5">
        <v>13</v>
      </c>
      <c r="F52" s="19" t="s">
        <v>312</v>
      </c>
      <c r="G52" s="5">
        <v>69</v>
      </c>
      <c r="H52" s="19" t="s">
        <v>312</v>
      </c>
      <c r="I52" s="5">
        <v>51</v>
      </c>
      <c r="J52" s="19" t="s">
        <v>312</v>
      </c>
      <c r="K52" s="43">
        <f t="shared" si="5"/>
        <v>56</v>
      </c>
    </row>
    <row r="53" spans="2:11" x14ac:dyDescent="0.2">
      <c r="B53" s="1" t="s">
        <v>271</v>
      </c>
      <c r="C53" s="18">
        <f t="shared" si="4"/>
        <v>1835</v>
      </c>
      <c r="D53" s="5">
        <v>697</v>
      </c>
      <c r="E53" s="19" t="s">
        <v>312</v>
      </c>
      <c r="F53" s="5">
        <v>1138</v>
      </c>
      <c r="G53" s="5">
        <v>18</v>
      </c>
      <c r="H53" s="5">
        <v>330</v>
      </c>
      <c r="I53" s="19" t="s">
        <v>312</v>
      </c>
      <c r="J53" s="5">
        <v>36</v>
      </c>
      <c r="K53" s="43">
        <f t="shared" si="5"/>
        <v>313</v>
      </c>
    </row>
    <row r="54" spans="2:11" x14ac:dyDescent="0.2">
      <c r="B54" s="1" t="s">
        <v>272</v>
      </c>
      <c r="C54" s="18">
        <f t="shared" si="4"/>
        <v>1235</v>
      </c>
      <c r="D54" s="5">
        <v>1138</v>
      </c>
      <c r="E54" s="5">
        <v>97</v>
      </c>
      <c r="F54" s="19" t="s">
        <v>312</v>
      </c>
      <c r="G54" s="5">
        <v>955</v>
      </c>
      <c r="H54" s="5">
        <v>69</v>
      </c>
      <c r="I54" s="19" t="s">
        <v>312</v>
      </c>
      <c r="J54" s="5">
        <v>171</v>
      </c>
      <c r="K54" s="43">
        <f t="shared" si="5"/>
        <v>40</v>
      </c>
    </row>
    <row r="55" spans="2:11" x14ac:dyDescent="0.2">
      <c r="B55" s="1" t="s">
        <v>273</v>
      </c>
      <c r="C55" s="18">
        <f t="shared" si="4"/>
        <v>3487</v>
      </c>
      <c r="D55" s="5">
        <v>3020</v>
      </c>
      <c r="E55" s="5">
        <v>467</v>
      </c>
      <c r="F55" s="19" t="s">
        <v>312</v>
      </c>
      <c r="G55" s="5">
        <v>3070</v>
      </c>
      <c r="H55" s="5">
        <v>185</v>
      </c>
      <c r="I55" s="19" t="s">
        <v>312</v>
      </c>
      <c r="J55" s="5">
        <v>232</v>
      </c>
      <c r="K55" s="44" t="s">
        <v>312</v>
      </c>
    </row>
    <row r="56" spans="2:11" x14ac:dyDescent="0.2">
      <c r="B56" s="1" t="s">
        <v>274</v>
      </c>
      <c r="C56" s="18">
        <f t="shared" si="4"/>
        <v>2958</v>
      </c>
      <c r="D56" s="5">
        <v>2881</v>
      </c>
      <c r="E56" s="5">
        <v>77</v>
      </c>
      <c r="F56" s="19" t="s">
        <v>312</v>
      </c>
      <c r="G56" s="5">
        <v>2439</v>
      </c>
      <c r="H56" s="19" t="s">
        <v>312</v>
      </c>
      <c r="I56" s="5">
        <v>218</v>
      </c>
      <c r="J56" s="19" t="s">
        <v>312</v>
      </c>
      <c r="K56" s="43">
        <f t="shared" si="5"/>
        <v>301</v>
      </c>
    </row>
    <row r="57" spans="2:11" x14ac:dyDescent="0.2">
      <c r="B57" s="1" t="s">
        <v>275</v>
      </c>
      <c r="C57" s="18">
        <f t="shared" si="4"/>
        <v>13126</v>
      </c>
      <c r="D57" s="5">
        <v>11928</v>
      </c>
      <c r="E57" s="5">
        <v>1063</v>
      </c>
      <c r="F57" s="5">
        <v>135</v>
      </c>
      <c r="G57" s="5">
        <v>8738</v>
      </c>
      <c r="H57" s="5">
        <v>116</v>
      </c>
      <c r="I57" s="19" t="s">
        <v>312</v>
      </c>
      <c r="J57" s="5">
        <v>1214</v>
      </c>
      <c r="K57" s="43">
        <f t="shared" si="5"/>
        <v>2923</v>
      </c>
    </row>
    <row r="58" spans="2:11" x14ac:dyDescent="0.2">
      <c r="B58" s="1" t="s">
        <v>276</v>
      </c>
      <c r="C58" s="18">
        <f t="shared" si="4"/>
        <v>1084</v>
      </c>
      <c r="D58" s="5">
        <v>761</v>
      </c>
      <c r="E58" s="5">
        <v>248</v>
      </c>
      <c r="F58" s="5">
        <v>75</v>
      </c>
      <c r="G58" s="5">
        <v>708</v>
      </c>
      <c r="H58" s="5">
        <v>115</v>
      </c>
      <c r="I58" s="19" t="s">
        <v>312</v>
      </c>
      <c r="J58" s="19" t="s">
        <v>312</v>
      </c>
      <c r="K58" s="43">
        <f t="shared" si="5"/>
        <v>186</v>
      </c>
    </row>
    <row r="59" spans="2:11" x14ac:dyDescent="0.2">
      <c r="B59" s="1" t="s">
        <v>277</v>
      </c>
      <c r="C59" s="18">
        <f t="shared" si="4"/>
        <v>796</v>
      </c>
      <c r="D59" s="5">
        <v>605</v>
      </c>
      <c r="E59" s="5">
        <v>69</v>
      </c>
      <c r="F59" s="5">
        <v>122</v>
      </c>
      <c r="G59" s="5">
        <v>586</v>
      </c>
      <c r="H59" s="19" t="s">
        <v>312</v>
      </c>
      <c r="I59" s="19" t="s">
        <v>312</v>
      </c>
      <c r="J59" s="19" t="s">
        <v>312</v>
      </c>
      <c r="K59" s="43">
        <f t="shared" si="5"/>
        <v>88</v>
      </c>
    </row>
    <row r="60" spans="2:11" x14ac:dyDescent="0.2">
      <c r="B60" s="1" t="s">
        <v>278</v>
      </c>
      <c r="C60" s="18">
        <f t="shared" si="4"/>
        <v>7343</v>
      </c>
      <c r="D60" s="5">
        <v>3841</v>
      </c>
      <c r="E60" s="5">
        <v>3502</v>
      </c>
      <c r="F60" s="19" t="s">
        <v>312</v>
      </c>
      <c r="G60" s="5">
        <v>3210</v>
      </c>
      <c r="H60" s="5">
        <v>3906</v>
      </c>
      <c r="I60" s="19" t="s">
        <v>312</v>
      </c>
      <c r="J60" s="19" t="s">
        <v>312</v>
      </c>
      <c r="K60" s="43">
        <f t="shared" si="5"/>
        <v>227</v>
      </c>
    </row>
    <row r="61" spans="2:11" x14ac:dyDescent="0.2">
      <c r="B61" s="1" t="s">
        <v>279</v>
      </c>
      <c r="C61" s="18">
        <f t="shared" si="4"/>
        <v>2012</v>
      </c>
      <c r="D61" s="5">
        <v>1838</v>
      </c>
      <c r="E61" s="5">
        <v>165</v>
      </c>
      <c r="F61" s="5">
        <v>9</v>
      </c>
      <c r="G61" s="5">
        <v>1707</v>
      </c>
      <c r="H61" s="5">
        <v>296</v>
      </c>
      <c r="I61" s="19" t="s">
        <v>312</v>
      </c>
      <c r="J61" s="19" t="s">
        <v>312</v>
      </c>
      <c r="K61" s="44" t="s">
        <v>312</v>
      </c>
    </row>
    <row r="62" spans="2:11" x14ac:dyDescent="0.2">
      <c r="B62" s="1" t="s">
        <v>280</v>
      </c>
      <c r="C62" s="18">
        <f t="shared" si="4"/>
        <v>2088</v>
      </c>
      <c r="D62" s="5">
        <v>2016</v>
      </c>
      <c r="E62" s="5">
        <v>72</v>
      </c>
      <c r="F62" s="19" t="s">
        <v>312</v>
      </c>
      <c r="G62" s="5">
        <v>1573</v>
      </c>
      <c r="H62" s="5">
        <v>515</v>
      </c>
      <c r="I62" s="19" t="s">
        <v>312</v>
      </c>
      <c r="J62" s="19" t="s">
        <v>312</v>
      </c>
      <c r="K62" s="44" t="s">
        <v>312</v>
      </c>
    </row>
    <row r="63" spans="2:11" x14ac:dyDescent="0.2">
      <c r="B63" s="1" t="s">
        <v>281</v>
      </c>
      <c r="C63" s="18">
        <f t="shared" si="4"/>
        <v>8395</v>
      </c>
      <c r="D63" s="5">
        <v>6535</v>
      </c>
      <c r="E63" s="5">
        <v>1851</v>
      </c>
      <c r="F63" s="5">
        <v>9</v>
      </c>
      <c r="G63" s="5">
        <v>5132</v>
      </c>
      <c r="H63" s="5">
        <v>3204</v>
      </c>
      <c r="I63" s="19" t="s">
        <v>312</v>
      </c>
      <c r="J63" s="19" t="s">
        <v>312</v>
      </c>
      <c r="K63" s="43">
        <f t="shared" si="5"/>
        <v>50</v>
      </c>
    </row>
    <row r="64" spans="2:11" x14ac:dyDescent="0.2">
      <c r="B64" s="1" t="s">
        <v>282</v>
      </c>
      <c r="C64" s="18">
        <f t="shared" si="4"/>
        <v>9471</v>
      </c>
      <c r="D64" s="5">
        <v>6950</v>
      </c>
      <c r="E64" s="5">
        <v>2521</v>
      </c>
      <c r="F64" s="19" t="s">
        <v>312</v>
      </c>
      <c r="G64" s="5">
        <v>8091</v>
      </c>
      <c r="H64" s="19" t="s">
        <v>312</v>
      </c>
      <c r="I64" s="19" t="s">
        <v>312</v>
      </c>
      <c r="J64" s="5">
        <v>1324</v>
      </c>
      <c r="K64" s="43">
        <f t="shared" si="5"/>
        <v>56</v>
      </c>
    </row>
    <row r="65" spans="1:11" x14ac:dyDescent="0.2">
      <c r="B65" s="1" t="s">
        <v>283</v>
      </c>
      <c r="C65" s="18">
        <f t="shared" si="4"/>
        <v>1699</v>
      </c>
      <c r="D65" s="5">
        <v>1518</v>
      </c>
      <c r="E65" s="5">
        <v>181</v>
      </c>
      <c r="F65" s="19" t="s">
        <v>312</v>
      </c>
      <c r="G65" s="5">
        <v>1445</v>
      </c>
      <c r="H65" s="5">
        <v>132</v>
      </c>
      <c r="I65" s="19" t="s">
        <v>312</v>
      </c>
      <c r="J65" s="5">
        <v>122</v>
      </c>
      <c r="K65" s="44" t="s">
        <v>312</v>
      </c>
    </row>
    <row r="66" spans="1:11" x14ac:dyDescent="0.2">
      <c r="B66" s="1" t="s">
        <v>284</v>
      </c>
      <c r="C66" s="18">
        <f t="shared" si="4"/>
        <v>2102</v>
      </c>
      <c r="D66" s="5">
        <v>1978</v>
      </c>
      <c r="E66" s="5">
        <v>124</v>
      </c>
      <c r="F66" s="19" t="s">
        <v>312</v>
      </c>
      <c r="G66" s="5">
        <v>1748</v>
      </c>
      <c r="H66" s="5">
        <v>257</v>
      </c>
      <c r="I66" s="19" t="s">
        <v>312</v>
      </c>
      <c r="J66" s="19" t="s">
        <v>312</v>
      </c>
      <c r="K66" s="43">
        <f t="shared" si="5"/>
        <v>97</v>
      </c>
    </row>
    <row r="67" spans="1:11" x14ac:dyDescent="0.2">
      <c r="B67" s="1" t="s">
        <v>285</v>
      </c>
      <c r="C67" s="18">
        <f t="shared" si="4"/>
        <v>1194</v>
      </c>
      <c r="D67" s="5">
        <v>1182</v>
      </c>
      <c r="E67" s="5">
        <v>12</v>
      </c>
      <c r="F67" s="19" t="s">
        <v>312</v>
      </c>
      <c r="G67" s="5">
        <v>936</v>
      </c>
      <c r="H67" s="19" t="s">
        <v>312</v>
      </c>
      <c r="I67" s="19" t="s">
        <v>312</v>
      </c>
      <c r="J67" s="5">
        <v>258</v>
      </c>
      <c r="K67" s="44" t="s">
        <v>312</v>
      </c>
    </row>
    <row r="68" spans="1:11" x14ac:dyDescent="0.2">
      <c r="B68" s="1" t="s">
        <v>286</v>
      </c>
      <c r="C68" s="18">
        <f t="shared" si="4"/>
        <v>677</v>
      </c>
      <c r="D68" s="5">
        <v>563</v>
      </c>
      <c r="E68" s="5">
        <v>114</v>
      </c>
      <c r="F68" s="19" t="s">
        <v>312</v>
      </c>
      <c r="G68" s="5">
        <v>505</v>
      </c>
      <c r="H68" s="19" t="s">
        <v>312</v>
      </c>
      <c r="I68" s="5">
        <v>166</v>
      </c>
      <c r="J68" s="19" t="s">
        <v>312</v>
      </c>
      <c r="K68" s="43">
        <f t="shared" si="5"/>
        <v>6</v>
      </c>
    </row>
    <row r="69" spans="1:11" x14ac:dyDescent="0.2">
      <c r="B69" s="1" t="s">
        <v>287</v>
      </c>
      <c r="C69" s="18">
        <f t="shared" si="4"/>
        <v>1365</v>
      </c>
      <c r="D69" s="5">
        <v>1272</v>
      </c>
      <c r="E69" s="5">
        <v>93</v>
      </c>
      <c r="F69" s="19" t="s">
        <v>312</v>
      </c>
      <c r="G69" s="5">
        <v>763</v>
      </c>
      <c r="H69" s="19" t="s">
        <v>312</v>
      </c>
      <c r="I69" s="5">
        <v>229</v>
      </c>
      <c r="J69" s="19" t="s">
        <v>312</v>
      </c>
      <c r="K69" s="43">
        <f t="shared" si="5"/>
        <v>373</v>
      </c>
    </row>
    <row r="70" spans="1:11" x14ac:dyDescent="0.2">
      <c r="B70" s="1" t="s">
        <v>288</v>
      </c>
      <c r="C70" s="18">
        <f t="shared" si="4"/>
        <v>123</v>
      </c>
      <c r="D70" s="5">
        <v>122</v>
      </c>
      <c r="E70" s="5">
        <v>1</v>
      </c>
      <c r="F70" s="19" t="s">
        <v>312</v>
      </c>
      <c r="G70" s="5">
        <v>83</v>
      </c>
      <c r="H70" s="19" t="s">
        <v>312</v>
      </c>
      <c r="I70" s="5">
        <v>39</v>
      </c>
      <c r="J70" s="19" t="s">
        <v>312</v>
      </c>
      <c r="K70" s="43">
        <f t="shared" si="5"/>
        <v>1</v>
      </c>
    </row>
    <row r="71" spans="1:11" ht="18" thickBot="1" x14ac:dyDescent="0.25">
      <c r="B71" s="6"/>
      <c r="C71" s="23"/>
      <c r="D71" s="6"/>
      <c r="E71" s="6"/>
      <c r="F71" s="6"/>
      <c r="G71" s="6"/>
      <c r="H71" s="6"/>
      <c r="I71" s="6"/>
      <c r="J71" s="6"/>
      <c r="K71" s="6"/>
    </row>
    <row r="72" spans="1:11" x14ac:dyDescent="0.2">
      <c r="C72" s="1" t="s">
        <v>313</v>
      </c>
    </row>
    <row r="73" spans="1:11" x14ac:dyDescent="0.2">
      <c r="A73" s="1"/>
    </row>
  </sheetData>
  <phoneticPr fontId="2"/>
  <pageMargins left="0.23000000000000004" right="0.23000000000000004" top="0.56999999999999995" bottom="0.5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4" width="12.125" style="2"/>
    <col min="5" max="6" width="13.375" style="2" customWidth="1"/>
    <col min="7" max="7" width="12.125" style="2"/>
    <col min="8" max="8" width="13.375" style="2" customWidth="1"/>
    <col min="9" max="10" width="12.125" style="2"/>
    <col min="11" max="11" width="10.875" style="2" customWidth="1"/>
    <col min="12" max="256" width="12.125" style="2"/>
    <col min="257" max="257" width="13.375" style="2" customWidth="1"/>
    <col min="258" max="258" width="19.625" style="2" customWidth="1"/>
    <col min="259" max="259" width="13.375" style="2" customWidth="1"/>
    <col min="260" max="260" width="12.125" style="2"/>
    <col min="261" max="262" width="13.375" style="2" customWidth="1"/>
    <col min="263" max="263" width="12.125" style="2"/>
    <col min="264" max="264" width="13.375" style="2" customWidth="1"/>
    <col min="265" max="266" width="12.125" style="2"/>
    <col min="267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5" width="13.375" style="2" customWidth="1"/>
    <col min="516" max="516" width="12.125" style="2"/>
    <col min="517" max="518" width="13.375" style="2" customWidth="1"/>
    <col min="519" max="519" width="12.125" style="2"/>
    <col min="520" max="520" width="13.375" style="2" customWidth="1"/>
    <col min="521" max="522" width="12.125" style="2"/>
    <col min="523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1" width="13.375" style="2" customWidth="1"/>
    <col min="772" max="772" width="12.125" style="2"/>
    <col min="773" max="774" width="13.375" style="2" customWidth="1"/>
    <col min="775" max="775" width="12.125" style="2"/>
    <col min="776" max="776" width="13.375" style="2" customWidth="1"/>
    <col min="777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028" width="12.125" style="2"/>
    <col min="1029" max="1030" width="13.375" style="2" customWidth="1"/>
    <col min="1031" max="1031" width="12.125" style="2"/>
    <col min="1032" max="1032" width="13.375" style="2" customWidth="1"/>
    <col min="1033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284" width="12.125" style="2"/>
    <col min="1285" max="1286" width="13.375" style="2" customWidth="1"/>
    <col min="1287" max="1287" width="12.125" style="2"/>
    <col min="1288" max="1288" width="13.375" style="2" customWidth="1"/>
    <col min="1289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540" width="12.125" style="2"/>
    <col min="1541" max="1542" width="13.375" style="2" customWidth="1"/>
    <col min="1543" max="1543" width="12.125" style="2"/>
    <col min="1544" max="1544" width="13.375" style="2" customWidth="1"/>
    <col min="1545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1796" width="12.125" style="2"/>
    <col min="1797" max="1798" width="13.375" style="2" customWidth="1"/>
    <col min="1799" max="1799" width="12.125" style="2"/>
    <col min="1800" max="1800" width="13.375" style="2" customWidth="1"/>
    <col min="1801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052" width="12.125" style="2"/>
    <col min="2053" max="2054" width="13.375" style="2" customWidth="1"/>
    <col min="2055" max="2055" width="12.125" style="2"/>
    <col min="2056" max="2056" width="13.375" style="2" customWidth="1"/>
    <col min="2057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308" width="12.125" style="2"/>
    <col min="2309" max="2310" width="13.375" style="2" customWidth="1"/>
    <col min="2311" max="2311" width="12.125" style="2"/>
    <col min="2312" max="2312" width="13.375" style="2" customWidth="1"/>
    <col min="2313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564" width="12.125" style="2"/>
    <col min="2565" max="2566" width="13.375" style="2" customWidth="1"/>
    <col min="2567" max="2567" width="12.125" style="2"/>
    <col min="2568" max="2568" width="13.375" style="2" customWidth="1"/>
    <col min="2569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2820" width="12.125" style="2"/>
    <col min="2821" max="2822" width="13.375" style="2" customWidth="1"/>
    <col min="2823" max="2823" width="12.125" style="2"/>
    <col min="2824" max="2824" width="13.375" style="2" customWidth="1"/>
    <col min="2825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076" width="12.125" style="2"/>
    <col min="3077" max="3078" width="13.375" style="2" customWidth="1"/>
    <col min="3079" max="3079" width="12.125" style="2"/>
    <col min="3080" max="3080" width="13.375" style="2" customWidth="1"/>
    <col min="3081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332" width="12.125" style="2"/>
    <col min="3333" max="3334" width="13.375" style="2" customWidth="1"/>
    <col min="3335" max="3335" width="12.125" style="2"/>
    <col min="3336" max="3336" width="13.375" style="2" customWidth="1"/>
    <col min="3337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588" width="12.125" style="2"/>
    <col min="3589" max="3590" width="13.375" style="2" customWidth="1"/>
    <col min="3591" max="3591" width="12.125" style="2"/>
    <col min="3592" max="3592" width="13.375" style="2" customWidth="1"/>
    <col min="3593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3844" width="12.125" style="2"/>
    <col min="3845" max="3846" width="13.375" style="2" customWidth="1"/>
    <col min="3847" max="3847" width="12.125" style="2"/>
    <col min="3848" max="3848" width="13.375" style="2" customWidth="1"/>
    <col min="3849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100" width="12.125" style="2"/>
    <col min="4101" max="4102" width="13.375" style="2" customWidth="1"/>
    <col min="4103" max="4103" width="12.125" style="2"/>
    <col min="4104" max="4104" width="13.375" style="2" customWidth="1"/>
    <col min="4105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356" width="12.125" style="2"/>
    <col min="4357" max="4358" width="13.375" style="2" customWidth="1"/>
    <col min="4359" max="4359" width="12.125" style="2"/>
    <col min="4360" max="4360" width="13.375" style="2" customWidth="1"/>
    <col min="4361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612" width="12.125" style="2"/>
    <col min="4613" max="4614" width="13.375" style="2" customWidth="1"/>
    <col min="4615" max="4615" width="12.125" style="2"/>
    <col min="4616" max="4616" width="13.375" style="2" customWidth="1"/>
    <col min="4617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4868" width="12.125" style="2"/>
    <col min="4869" max="4870" width="13.375" style="2" customWidth="1"/>
    <col min="4871" max="4871" width="12.125" style="2"/>
    <col min="4872" max="4872" width="13.375" style="2" customWidth="1"/>
    <col min="4873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124" width="12.125" style="2"/>
    <col min="5125" max="5126" width="13.375" style="2" customWidth="1"/>
    <col min="5127" max="5127" width="12.125" style="2"/>
    <col min="5128" max="5128" width="13.375" style="2" customWidth="1"/>
    <col min="5129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380" width="12.125" style="2"/>
    <col min="5381" max="5382" width="13.375" style="2" customWidth="1"/>
    <col min="5383" max="5383" width="12.125" style="2"/>
    <col min="5384" max="5384" width="13.375" style="2" customWidth="1"/>
    <col min="5385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636" width="12.125" style="2"/>
    <col min="5637" max="5638" width="13.375" style="2" customWidth="1"/>
    <col min="5639" max="5639" width="12.125" style="2"/>
    <col min="5640" max="5640" width="13.375" style="2" customWidth="1"/>
    <col min="5641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5892" width="12.125" style="2"/>
    <col min="5893" max="5894" width="13.375" style="2" customWidth="1"/>
    <col min="5895" max="5895" width="12.125" style="2"/>
    <col min="5896" max="5896" width="13.375" style="2" customWidth="1"/>
    <col min="5897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148" width="12.125" style="2"/>
    <col min="6149" max="6150" width="13.375" style="2" customWidth="1"/>
    <col min="6151" max="6151" width="12.125" style="2"/>
    <col min="6152" max="6152" width="13.375" style="2" customWidth="1"/>
    <col min="6153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404" width="12.125" style="2"/>
    <col min="6405" max="6406" width="13.375" style="2" customWidth="1"/>
    <col min="6407" max="6407" width="12.125" style="2"/>
    <col min="6408" max="6408" width="13.375" style="2" customWidth="1"/>
    <col min="6409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660" width="12.125" style="2"/>
    <col min="6661" max="6662" width="13.375" style="2" customWidth="1"/>
    <col min="6663" max="6663" width="12.125" style="2"/>
    <col min="6664" max="6664" width="13.375" style="2" customWidth="1"/>
    <col min="6665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6916" width="12.125" style="2"/>
    <col min="6917" max="6918" width="13.375" style="2" customWidth="1"/>
    <col min="6919" max="6919" width="12.125" style="2"/>
    <col min="6920" max="6920" width="13.375" style="2" customWidth="1"/>
    <col min="6921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172" width="12.125" style="2"/>
    <col min="7173" max="7174" width="13.375" style="2" customWidth="1"/>
    <col min="7175" max="7175" width="12.125" style="2"/>
    <col min="7176" max="7176" width="13.375" style="2" customWidth="1"/>
    <col min="7177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428" width="12.125" style="2"/>
    <col min="7429" max="7430" width="13.375" style="2" customWidth="1"/>
    <col min="7431" max="7431" width="12.125" style="2"/>
    <col min="7432" max="7432" width="13.375" style="2" customWidth="1"/>
    <col min="7433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684" width="12.125" style="2"/>
    <col min="7685" max="7686" width="13.375" style="2" customWidth="1"/>
    <col min="7687" max="7687" width="12.125" style="2"/>
    <col min="7688" max="7688" width="13.375" style="2" customWidth="1"/>
    <col min="7689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7940" width="12.125" style="2"/>
    <col min="7941" max="7942" width="13.375" style="2" customWidth="1"/>
    <col min="7943" max="7943" width="12.125" style="2"/>
    <col min="7944" max="7944" width="13.375" style="2" customWidth="1"/>
    <col min="7945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196" width="12.125" style="2"/>
    <col min="8197" max="8198" width="13.375" style="2" customWidth="1"/>
    <col min="8199" max="8199" width="12.125" style="2"/>
    <col min="8200" max="8200" width="13.375" style="2" customWidth="1"/>
    <col min="8201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452" width="12.125" style="2"/>
    <col min="8453" max="8454" width="13.375" style="2" customWidth="1"/>
    <col min="8455" max="8455" width="12.125" style="2"/>
    <col min="8456" max="8456" width="13.375" style="2" customWidth="1"/>
    <col min="8457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708" width="12.125" style="2"/>
    <col min="8709" max="8710" width="13.375" style="2" customWidth="1"/>
    <col min="8711" max="8711" width="12.125" style="2"/>
    <col min="8712" max="8712" width="13.375" style="2" customWidth="1"/>
    <col min="8713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8964" width="12.125" style="2"/>
    <col min="8965" max="8966" width="13.375" style="2" customWidth="1"/>
    <col min="8967" max="8967" width="12.125" style="2"/>
    <col min="8968" max="8968" width="13.375" style="2" customWidth="1"/>
    <col min="8969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220" width="12.125" style="2"/>
    <col min="9221" max="9222" width="13.375" style="2" customWidth="1"/>
    <col min="9223" max="9223" width="12.125" style="2"/>
    <col min="9224" max="9224" width="13.375" style="2" customWidth="1"/>
    <col min="9225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476" width="12.125" style="2"/>
    <col min="9477" max="9478" width="13.375" style="2" customWidth="1"/>
    <col min="9479" max="9479" width="12.125" style="2"/>
    <col min="9480" max="9480" width="13.375" style="2" customWidth="1"/>
    <col min="9481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732" width="12.125" style="2"/>
    <col min="9733" max="9734" width="13.375" style="2" customWidth="1"/>
    <col min="9735" max="9735" width="12.125" style="2"/>
    <col min="9736" max="9736" width="13.375" style="2" customWidth="1"/>
    <col min="9737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9988" width="12.125" style="2"/>
    <col min="9989" max="9990" width="13.375" style="2" customWidth="1"/>
    <col min="9991" max="9991" width="12.125" style="2"/>
    <col min="9992" max="9992" width="13.375" style="2" customWidth="1"/>
    <col min="9993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244" width="12.125" style="2"/>
    <col min="10245" max="10246" width="13.375" style="2" customWidth="1"/>
    <col min="10247" max="10247" width="12.125" style="2"/>
    <col min="10248" max="10248" width="13.375" style="2" customWidth="1"/>
    <col min="10249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500" width="12.125" style="2"/>
    <col min="10501" max="10502" width="13.375" style="2" customWidth="1"/>
    <col min="10503" max="10503" width="12.125" style="2"/>
    <col min="10504" max="10504" width="13.375" style="2" customWidth="1"/>
    <col min="10505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0756" width="12.125" style="2"/>
    <col min="10757" max="10758" width="13.375" style="2" customWidth="1"/>
    <col min="10759" max="10759" width="12.125" style="2"/>
    <col min="10760" max="10760" width="13.375" style="2" customWidth="1"/>
    <col min="10761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012" width="12.125" style="2"/>
    <col min="11013" max="11014" width="13.375" style="2" customWidth="1"/>
    <col min="11015" max="11015" width="12.125" style="2"/>
    <col min="11016" max="11016" width="13.375" style="2" customWidth="1"/>
    <col min="11017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268" width="12.125" style="2"/>
    <col min="11269" max="11270" width="13.375" style="2" customWidth="1"/>
    <col min="11271" max="11271" width="12.125" style="2"/>
    <col min="11272" max="11272" width="13.375" style="2" customWidth="1"/>
    <col min="11273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524" width="12.125" style="2"/>
    <col min="11525" max="11526" width="13.375" style="2" customWidth="1"/>
    <col min="11527" max="11527" width="12.125" style="2"/>
    <col min="11528" max="11528" width="13.375" style="2" customWidth="1"/>
    <col min="11529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1780" width="12.125" style="2"/>
    <col min="11781" max="11782" width="13.375" style="2" customWidth="1"/>
    <col min="11783" max="11783" width="12.125" style="2"/>
    <col min="11784" max="11784" width="13.375" style="2" customWidth="1"/>
    <col min="11785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036" width="12.125" style="2"/>
    <col min="12037" max="12038" width="13.375" style="2" customWidth="1"/>
    <col min="12039" max="12039" width="12.125" style="2"/>
    <col min="12040" max="12040" width="13.375" style="2" customWidth="1"/>
    <col min="12041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292" width="12.125" style="2"/>
    <col min="12293" max="12294" width="13.375" style="2" customWidth="1"/>
    <col min="12295" max="12295" width="12.125" style="2"/>
    <col min="12296" max="12296" width="13.375" style="2" customWidth="1"/>
    <col min="12297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548" width="12.125" style="2"/>
    <col min="12549" max="12550" width="13.375" style="2" customWidth="1"/>
    <col min="12551" max="12551" width="12.125" style="2"/>
    <col min="12552" max="12552" width="13.375" style="2" customWidth="1"/>
    <col min="12553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2804" width="12.125" style="2"/>
    <col min="12805" max="12806" width="13.375" style="2" customWidth="1"/>
    <col min="12807" max="12807" width="12.125" style="2"/>
    <col min="12808" max="12808" width="13.375" style="2" customWidth="1"/>
    <col min="12809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060" width="12.125" style="2"/>
    <col min="13061" max="13062" width="13.375" style="2" customWidth="1"/>
    <col min="13063" max="13063" width="12.125" style="2"/>
    <col min="13064" max="13064" width="13.375" style="2" customWidth="1"/>
    <col min="13065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316" width="12.125" style="2"/>
    <col min="13317" max="13318" width="13.375" style="2" customWidth="1"/>
    <col min="13319" max="13319" width="12.125" style="2"/>
    <col min="13320" max="13320" width="13.375" style="2" customWidth="1"/>
    <col min="13321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572" width="12.125" style="2"/>
    <col min="13573" max="13574" width="13.375" style="2" customWidth="1"/>
    <col min="13575" max="13575" width="12.125" style="2"/>
    <col min="13576" max="13576" width="13.375" style="2" customWidth="1"/>
    <col min="13577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3828" width="12.125" style="2"/>
    <col min="13829" max="13830" width="13.375" style="2" customWidth="1"/>
    <col min="13831" max="13831" width="12.125" style="2"/>
    <col min="13832" max="13832" width="13.375" style="2" customWidth="1"/>
    <col min="13833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084" width="12.125" style="2"/>
    <col min="14085" max="14086" width="13.375" style="2" customWidth="1"/>
    <col min="14087" max="14087" width="12.125" style="2"/>
    <col min="14088" max="14088" width="13.375" style="2" customWidth="1"/>
    <col min="14089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340" width="12.125" style="2"/>
    <col min="14341" max="14342" width="13.375" style="2" customWidth="1"/>
    <col min="14343" max="14343" width="12.125" style="2"/>
    <col min="14344" max="14344" width="13.375" style="2" customWidth="1"/>
    <col min="14345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596" width="12.125" style="2"/>
    <col min="14597" max="14598" width="13.375" style="2" customWidth="1"/>
    <col min="14599" max="14599" width="12.125" style="2"/>
    <col min="14600" max="14600" width="13.375" style="2" customWidth="1"/>
    <col min="14601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4852" width="12.125" style="2"/>
    <col min="14853" max="14854" width="13.375" style="2" customWidth="1"/>
    <col min="14855" max="14855" width="12.125" style="2"/>
    <col min="14856" max="14856" width="13.375" style="2" customWidth="1"/>
    <col min="14857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108" width="12.125" style="2"/>
    <col min="15109" max="15110" width="13.375" style="2" customWidth="1"/>
    <col min="15111" max="15111" width="12.125" style="2"/>
    <col min="15112" max="15112" width="13.375" style="2" customWidth="1"/>
    <col min="15113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364" width="12.125" style="2"/>
    <col min="15365" max="15366" width="13.375" style="2" customWidth="1"/>
    <col min="15367" max="15367" width="12.125" style="2"/>
    <col min="15368" max="15368" width="13.375" style="2" customWidth="1"/>
    <col min="15369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620" width="12.125" style="2"/>
    <col min="15621" max="15622" width="13.375" style="2" customWidth="1"/>
    <col min="15623" max="15623" width="12.125" style="2"/>
    <col min="15624" max="15624" width="13.375" style="2" customWidth="1"/>
    <col min="15625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5876" width="12.125" style="2"/>
    <col min="15877" max="15878" width="13.375" style="2" customWidth="1"/>
    <col min="15879" max="15879" width="12.125" style="2"/>
    <col min="15880" max="15880" width="13.375" style="2" customWidth="1"/>
    <col min="15881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132" width="12.125" style="2"/>
    <col min="16133" max="16134" width="13.375" style="2" customWidth="1"/>
    <col min="16135" max="16135" width="12.125" style="2"/>
    <col min="16136" max="16136" width="13.375" style="2" customWidth="1"/>
    <col min="16137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4" t="s">
        <v>314</v>
      </c>
    </row>
    <row r="7" spans="1:11" ht="18" thickBot="1" x14ac:dyDescent="0.25">
      <c r="B7" s="6"/>
      <c r="C7" s="45" t="s">
        <v>315</v>
      </c>
      <c r="D7" s="6"/>
      <c r="E7" s="6"/>
      <c r="F7" s="6"/>
      <c r="G7" s="6"/>
      <c r="H7" s="6"/>
      <c r="I7" s="6"/>
      <c r="J7" s="6"/>
      <c r="K7" s="6"/>
    </row>
    <row r="8" spans="1:11" x14ac:dyDescent="0.2">
      <c r="C8" s="10"/>
      <c r="D8" s="12"/>
      <c r="E8" s="12"/>
      <c r="F8" s="12"/>
      <c r="G8" s="12"/>
      <c r="H8" s="10"/>
      <c r="I8" s="12"/>
      <c r="J8" s="12"/>
      <c r="K8" s="13" t="s">
        <v>316</v>
      </c>
    </row>
    <row r="9" spans="1:11" x14ac:dyDescent="0.2">
      <c r="C9" s="13" t="s">
        <v>317</v>
      </c>
      <c r="D9" s="13" t="s">
        <v>318</v>
      </c>
      <c r="E9" s="13" t="s">
        <v>319</v>
      </c>
      <c r="F9" s="13" t="s">
        <v>320</v>
      </c>
      <c r="G9" s="13" t="s">
        <v>321</v>
      </c>
      <c r="H9" s="13" t="s">
        <v>322</v>
      </c>
      <c r="I9" s="10"/>
      <c r="J9" s="10"/>
      <c r="K9" s="16" t="s">
        <v>323</v>
      </c>
    </row>
    <row r="10" spans="1:11" x14ac:dyDescent="0.2">
      <c r="B10" s="12"/>
      <c r="C10" s="29" t="s">
        <v>324</v>
      </c>
      <c r="D10" s="29" t="s">
        <v>325</v>
      </c>
      <c r="E10" s="29" t="s">
        <v>326</v>
      </c>
      <c r="F10" s="29" t="s">
        <v>326</v>
      </c>
      <c r="G10" s="29" t="s">
        <v>327</v>
      </c>
      <c r="H10" s="29" t="s">
        <v>324</v>
      </c>
      <c r="I10" s="29" t="s">
        <v>328</v>
      </c>
      <c r="J10" s="29" t="s">
        <v>329</v>
      </c>
      <c r="K10" s="29" t="s">
        <v>330</v>
      </c>
    </row>
    <row r="11" spans="1:11" x14ac:dyDescent="0.2">
      <c r="B11" s="21"/>
      <c r="C11" s="46" t="s">
        <v>331</v>
      </c>
      <c r="D11" s="44" t="s">
        <v>331</v>
      </c>
      <c r="E11" s="44" t="s">
        <v>331</v>
      </c>
      <c r="F11" s="44" t="s">
        <v>331</v>
      </c>
      <c r="G11" s="44" t="s">
        <v>331</v>
      </c>
      <c r="H11" s="44" t="s">
        <v>331</v>
      </c>
      <c r="I11" s="44" t="s">
        <v>331</v>
      </c>
      <c r="J11" s="44" t="s">
        <v>331</v>
      </c>
      <c r="K11" s="46" t="s">
        <v>332</v>
      </c>
    </row>
    <row r="12" spans="1:11" x14ac:dyDescent="0.2">
      <c r="B12" s="44" t="s">
        <v>333</v>
      </c>
      <c r="C12" s="10"/>
      <c r="D12" s="5"/>
      <c r="E12" s="47" t="s">
        <v>334</v>
      </c>
      <c r="F12" s="25"/>
      <c r="G12" s="5"/>
      <c r="I12" s="5"/>
      <c r="J12" s="5"/>
      <c r="K12" s="48"/>
    </row>
    <row r="13" spans="1:11" x14ac:dyDescent="0.2">
      <c r="B13" s="49" t="s">
        <v>335</v>
      </c>
      <c r="C13" s="18">
        <f>SUM(D13:G13)+1341</f>
        <v>420626</v>
      </c>
      <c r="D13" s="5">
        <v>27726</v>
      </c>
      <c r="E13" s="5">
        <v>391559</v>
      </c>
      <c r="F13" s="5"/>
      <c r="G13" s="19" t="s">
        <v>52</v>
      </c>
      <c r="H13" s="5">
        <v>655185</v>
      </c>
      <c r="I13" s="19" t="s">
        <v>139</v>
      </c>
      <c r="J13" s="19" t="s">
        <v>139</v>
      </c>
      <c r="K13" s="48">
        <f t="shared" ref="K13:K18" si="0">C13/(C13+H13)*100</f>
        <v>39.098503361649954</v>
      </c>
    </row>
    <row r="14" spans="1:11" x14ac:dyDescent="0.2">
      <c r="B14" s="49" t="s">
        <v>336</v>
      </c>
      <c r="C14" s="18">
        <f>SUM(D14:G14)+1315</f>
        <v>446834</v>
      </c>
      <c r="D14" s="5">
        <v>30570</v>
      </c>
      <c r="E14" s="5">
        <v>414949</v>
      </c>
      <c r="F14" s="5"/>
      <c r="G14" s="19" t="s">
        <v>337</v>
      </c>
      <c r="H14" s="5">
        <v>630250</v>
      </c>
      <c r="I14" s="19" t="s">
        <v>139</v>
      </c>
      <c r="J14" s="19" t="s">
        <v>139</v>
      </c>
      <c r="K14" s="48">
        <f t="shared" si="0"/>
        <v>41.485529448028196</v>
      </c>
    </row>
    <row r="15" spans="1:11" x14ac:dyDescent="0.2">
      <c r="B15" s="49" t="s">
        <v>338</v>
      </c>
      <c r="C15" s="18">
        <f>SUM(D15:G15)+2746</f>
        <v>480651</v>
      </c>
      <c r="D15" s="5">
        <v>37121</v>
      </c>
      <c r="E15" s="5">
        <v>440784</v>
      </c>
      <c r="F15" s="5"/>
      <c r="G15" s="19" t="s">
        <v>52</v>
      </c>
      <c r="H15" s="43">
        <f>I15+J15</f>
        <v>599763</v>
      </c>
      <c r="I15" s="5">
        <v>582759</v>
      </c>
      <c r="J15" s="5">
        <v>17004</v>
      </c>
      <c r="K15" s="48">
        <f t="shared" si="0"/>
        <v>44.487668615919453</v>
      </c>
    </row>
    <row r="16" spans="1:11" x14ac:dyDescent="0.2">
      <c r="B16" s="49" t="s">
        <v>339</v>
      </c>
      <c r="C16" s="18">
        <f>SUM(D16:G16)+2708</f>
        <v>532826</v>
      </c>
      <c r="D16" s="5">
        <v>70748</v>
      </c>
      <c r="E16" s="5">
        <v>456073</v>
      </c>
      <c r="F16" s="5"/>
      <c r="G16" s="5">
        <v>3297</v>
      </c>
      <c r="H16" s="43">
        <f>I16+J16</f>
        <v>547557</v>
      </c>
      <c r="I16" s="5">
        <v>533215</v>
      </c>
      <c r="J16" s="5">
        <v>14342</v>
      </c>
      <c r="K16" s="48">
        <f t="shared" si="0"/>
        <v>49.318251027644827</v>
      </c>
    </row>
    <row r="17" spans="2:11" x14ac:dyDescent="0.2">
      <c r="B17" s="49" t="s">
        <v>340</v>
      </c>
      <c r="C17" s="18">
        <f>SUM(D17:G17)</f>
        <v>530313</v>
      </c>
      <c r="D17" s="5">
        <v>45176</v>
      </c>
      <c r="E17" s="5">
        <v>103213</v>
      </c>
      <c r="F17" s="5">
        <v>376995</v>
      </c>
      <c r="G17" s="5">
        <v>4929</v>
      </c>
      <c r="H17" s="43">
        <f>I17+J17</f>
        <v>556152</v>
      </c>
      <c r="I17" s="5">
        <v>542965</v>
      </c>
      <c r="J17" s="5">
        <v>13187</v>
      </c>
      <c r="K17" s="48">
        <f t="shared" si="0"/>
        <v>48.810868274633791</v>
      </c>
    </row>
    <row r="18" spans="2:11" x14ac:dyDescent="0.2">
      <c r="B18" s="40" t="s">
        <v>341</v>
      </c>
      <c r="C18" s="20">
        <f>SUM(D18:G18)</f>
        <v>554063</v>
      </c>
      <c r="D18" s="21">
        <f>SUM(D20:D70)</f>
        <v>47676</v>
      </c>
      <c r="E18" s="21">
        <f>SUM(E20:E70)</f>
        <v>117729</v>
      </c>
      <c r="F18" s="21">
        <f>SUM(F20:F70)</f>
        <v>382265</v>
      </c>
      <c r="G18" s="21">
        <f>SUM(G20:G70)</f>
        <v>6393</v>
      </c>
      <c r="H18" s="21">
        <f>I18+J18</f>
        <v>545082</v>
      </c>
      <c r="I18" s="21">
        <f>SUM(I20:I70)</f>
        <v>534024</v>
      </c>
      <c r="J18" s="21">
        <f>SUM(J20:J70)</f>
        <v>11058</v>
      </c>
      <c r="K18" s="50">
        <f t="shared" si="0"/>
        <v>50.408544823476433</v>
      </c>
    </row>
    <row r="19" spans="2:11" x14ac:dyDescent="0.2">
      <c r="C19" s="10"/>
      <c r="K19" s="10"/>
    </row>
    <row r="20" spans="2:11" x14ac:dyDescent="0.2">
      <c r="B20" s="1" t="s">
        <v>239</v>
      </c>
      <c r="C20" s="18">
        <f t="shared" ref="C20:C26" si="1">SUM(D20:G20)</f>
        <v>240640</v>
      </c>
      <c r="D20" s="5">
        <v>38850</v>
      </c>
      <c r="E20" s="5">
        <v>32492</v>
      </c>
      <c r="F20" s="5">
        <v>169298</v>
      </c>
      <c r="G20" s="19" t="s">
        <v>52</v>
      </c>
      <c r="H20" s="43">
        <f t="shared" ref="H20:H26" si="2">I20+J20</f>
        <v>157207</v>
      </c>
      <c r="I20" s="5">
        <v>154594</v>
      </c>
      <c r="J20" s="5">
        <v>2613</v>
      </c>
      <c r="K20" s="48">
        <f t="shared" ref="K20:K26" si="3">C20/(C20+H20)*100</f>
        <v>60.48556354578519</v>
      </c>
    </row>
    <row r="21" spans="2:11" x14ac:dyDescent="0.2">
      <c r="B21" s="1" t="s">
        <v>240</v>
      </c>
      <c r="C21" s="18">
        <f t="shared" si="1"/>
        <v>14226</v>
      </c>
      <c r="D21" s="19" t="s">
        <v>52</v>
      </c>
      <c r="E21" s="5">
        <v>3402</v>
      </c>
      <c r="F21" s="5">
        <v>10824</v>
      </c>
      <c r="G21" s="19" t="s">
        <v>52</v>
      </c>
      <c r="H21" s="43">
        <f t="shared" si="2"/>
        <v>33835</v>
      </c>
      <c r="I21" s="5">
        <v>33835</v>
      </c>
      <c r="J21" s="19" t="s">
        <v>52</v>
      </c>
      <c r="K21" s="48">
        <f t="shared" si="3"/>
        <v>29.599883481409044</v>
      </c>
    </row>
    <row r="22" spans="2:11" x14ac:dyDescent="0.2">
      <c r="B22" s="1" t="s">
        <v>241</v>
      </c>
      <c r="C22" s="18">
        <f t="shared" si="1"/>
        <v>33516</v>
      </c>
      <c r="D22" s="19" t="s">
        <v>52</v>
      </c>
      <c r="E22" s="5">
        <v>19820</v>
      </c>
      <c r="F22" s="5">
        <v>13696</v>
      </c>
      <c r="G22" s="19" t="s">
        <v>52</v>
      </c>
      <c r="H22" s="43">
        <f t="shared" si="2"/>
        <v>21489</v>
      </c>
      <c r="I22" s="5">
        <v>21426</v>
      </c>
      <c r="J22" s="5">
        <v>63</v>
      </c>
      <c r="K22" s="48">
        <f t="shared" si="3"/>
        <v>60.932642487046628</v>
      </c>
    </row>
    <row r="23" spans="2:11" x14ac:dyDescent="0.2">
      <c r="B23" s="1" t="s">
        <v>242</v>
      </c>
      <c r="C23" s="18">
        <f t="shared" si="1"/>
        <v>17467</v>
      </c>
      <c r="D23" s="19" t="s">
        <v>52</v>
      </c>
      <c r="E23" s="5">
        <v>314</v>
      </c>
      <c r="F23" s="5">
        <v>17153</v>
      </c>
      <c r="G23" s="19" t="s">
        <v>52</v>
      </c>
      <c r="H23" s="43">
        <f t="shared" si="2"/>
        <v>17693</v>
      </c>
      <c r="I23" s="5">
        <v>17293</v>
      </c>
      <c r="J23" s="5">
        <v>400</v>
      </c>
      <c r="K23" s="48">
        <f t="shared" si="3"/>
        <v>49.678612059158134</v>
      </c>
    </row>
    <row r="24" spans="2:11" x14ac:dyDescent="0.2">
      <c r="B24" s="1" t="s">
        <v>243</v>
      </c>
      <c r="C24" s="18">
        <f t="shared" si="1"/>
        <v>13209</v>
      </c>
      <c r="D24" s="19" t="s">
        <v>52</v>
      </c>
      <c r="E24" s="5">
        <v>1865</v>
      </c>
      <c r="F24" s="5">
        <v>11344</v>
      </c>
      <c r="G24" s="19" t="s">
        <v>52</v>
      </c>
      <c r="H24" s="43">
        <f t="shared" si="2"/>
        <v>15229</v>
      </c>
      <c r="I24" s="5">
        <v>14106</v>
      </c>
      <c r="J24" s="5">
        <v>1123</v>
      </c>
      <c r="K24" s="48">
        <f t="shared" si="3"/>
        <v>46.44841409381813</v>
      </c>
    </row>
    <row r="25" spans="2:11" x14ac:dyDescent="0.2">
      <c r="B25" s="1" t="s">
        <v>244</v>
      </c>
      <c r="C25" s="18">
        <f t="shared" si="1"/>
        <v>45134</v>
      </c>
      <c r="D25" s="19" t="s">
        <v>52</v>
      </c>
      <c r="E25" s="5">
        <v>9809</v>
      </c>
      <c r="F25" s="5">
        <v>31831</v>
      </c>
      <c r="G25" s="5">
        <v>3494</v>
      </c>
      <c r="H25" s="43">
        <f t="shared" si="2"/>
        <v>27001</v>
      </c>
      <c r="I25" s="5">
        <v>26901</v>
      </c>
      <c r="J25" s="5">
        <v>100</v>
      </c>
      <c r="K25" s="48">
        <f t="shared" si="3"/>
        <v>62.568794621196368</v>
      </c>
    </row>
    <row r="26" spans="2:11" x14ac:dyDescent="0.2">
      <c r="B26" s="1" t="s">
        <v>245</v>
      </c>
      <c r="C26" s="18">
        <f t="shared" si="1"/>
        <v>18360</v>
      </c>
      <c r="D26" s="19" t="s">
        <v>52</v>
      </c>
      <c r="E26" s="5">
        <v>1143</v>
      </c>
      <c r="F26" s="5">
        <v>17217</v>
      </c>
      <c r="G26" s="19" t="s">
        <v>52</v>
      </c>
      <c r="H26" s="43">
        <f t="shared" si="2"/>
        <v>15827</v>
      </c>
      <c r="I26" s="5">
        <v>15804</v>
      </c>
      <c r="J26" s="5">
        <v>23</v>
      </c>
      <c r="K26" s="48">
        <f t="shared" si="3"/>
        <v>53.704624564893088</v>
      </c>
    </row>
    <row r="27" spans="2:11" x14ac:dyDescent="0.2">
      <c r="C27" s="10"/>
      <c r="D27" s="5"/>
      <c r="E27" s="5"/>
      <c r="F27" s="5"/>
      <c r="G27" s="5"/>
      <c r="I27" s="5"/>
      <c r="J27" s="5"/>
      <c r="K27" s="48"/>
    </row>
    <row r="28" spans="2:11" x14ac:dyDescent="0.2">
      <c r="B28" s="1" t="s">
        <v>246</v>
      </c>
      <c r="C28" s="18">
        <f t="shared" ref="C28:C70" si="4">SUM(D28:G28)</f>
        <v>7963</v>
      </c>
      <c r="D28" s="19" t="s">
        <v>52</v>
      </c>
      <c r="E28" s="5">
        <v>177</v>
      </c>
      <c r="F28" s="5">
        <v>7786</v>
      </c>
      <c r="G28" s="19" t="s">
        <v>52</v>
      </c>
      <c r="H28" s="43">
        <f t="shared" ref="H28:H70" si="5">I28+J28</f>
        <v>7603</v>
      </c>
      <c r="I28" s="5">
        <v>7524</v>
      </c>
      <c r="J28" s="5">
        <v>79</v>
      </c>
      <c r="K28" s="48">
        <f t="shared" ref="K28:K70" si="6">C28/(C28+H28)*100</f>
        <v>51.156366439676212</v>
      </c>
    </row>
    <row r="29" spans="2:11" x14ac:dyDescent="0.2">
      <c r="B29" s="1" t="s">
        <v>247</v>
      </c>
      <c r="C29" s="18">
        <f t="shared" si="4"/>
        <v>2498</v>
      </c>
      <c r="D29" s="19" t="s">
        <v>52</v>
      </c>
      <c r="E29" s="5">
        <v>873</v>
      </c>
      <c r="F29" s="5">
        <v>1113</v>
      </c>
      <c r="G29" s="5">
        <v>512</v>
      </c>
      <c r="H29" s="43">
        <f t="shared" si="5"/>
        <v>6434</v>
      </c>
      <c r="I29" s="5">
        <v>6230</v>
      </c>
      <c r="J29" s="5">
        <v>204</v>
      </c>
      <c r="K29" s="48">
        <f t="shared" si="6"/>
        <v>27.966860725481414</v>
      </c>
    </row>
    <row r="30" spans="2:11" x14ac:dyDescent="0.2">
      <c r="B30" s="1" t="s">
        <v>248</v>
      </c>
      <c r="C30" s="18">
        <f t="shared" si="4"/>
        <v>1665</v>
      </c>
      <c r="D30" s="19" t="s">
        <v>52</v>
      </c>
      <c r="E30" s="5">
        <v>500</v>
      </c>
      <c r="F30" s="5">
        <v>1165</v>
      </c>
      <c r="G30" s="19" t="s">
        <v>52</v>
      </c>
      <c r="H30" s="43">
        <f t="shared" si="5"/>
        <v>2876</v>
      </c>
      <c r="I30" s="5">
        <v>2754</v>
      </c>
      <c r="J30" s="5">
        <v>122</v>
      </c>
      <c r="K30" s="48">
        <f t="shared" si="6"/>
        <v>36.665932613961679</v>
      </c>
    </row>
    <row r="31" spans="2:11" x14ac:dyDescent="0.2">
      <c r="B31" s="1" t="s">
        <v>249</v>
      </c>
      <c r="C31" s="18">
        <f t="shared" si="4"/>
        <v>4715</v>
      </c>
      <c r="D31" s="19" t="s">
        <v>52</v>
      </c>
      <c r="E31" s="5">
        <v>1938</v>
      </c>
      <c r="F31" s="5">
        <v>2777</v>
      </c>
      <c r="G31" s="19" t="s">
        <v>52</v>
      </c>
      <c r="H31" s="43">
        <f t="shared" si="5"/>
        <v>10338</v>
      </c>
      <c r="I31" s="5">
        <v>10052</v>
      </c>
      <c r="J31" s="5">
        <v>286</v>
      </c>
      <c r="K31" s="48">
        <f t="shared" si="6"/>
        <v>31.322659934896695</v>
      </c>
    </row>
    <row r="32" spans="2:11" x14ac:dyDescent="0.2">
      <c r="B32" s="1" t="s">
        <v>250</v>
      </c>
      <c r="C32" s="18">
        <f t="shared" si="4"/>
        <v>6401</v>
      </c>
      <c r="D32" s="19" t="s">
        <v>52</v>
      </c>
      <c r="E32" s="5">
        <v>2896</v>
      </c>
      <c r="F32" s="5">
        <v>3505</v>
      </c>
      <c r="G32" s="19" t="s">
        <v>52</v>
      </c>
      <c r="H32" s="43">
        <f t="shared" si="5"/>
        <v>11097</v>
      </c>
      <c r="I32" s="5">
        <v>10765</v>
      </c>
      <c r="J32" s="5">
        <v>332</v>
      </c>
      <c r="K32" s="48">
        <f t="shared" si="6"/>
        <v>36.581323579837694</v>
      </c>
    </row>
    <row r="33" spans="2:11" x14ac:dyDescent="0.2">
      <c r="B33" s="1" t="s">
        <v>251</v>
      </c>
      <c r="C33" s="18">
        <f t="shared" si="4"/>
        <v>2570</v>
      </c>
      <c r="D33" s="19" t="s">
        <v>52</v>
      </c>
      <c r="E33" s="5">
        <v>649</v>
      </c>
      <c r="F33" s="5">
        <v>1921</v>
      </c>
      <c r="G33" s="19" t="s">
        <v>52</v>
      </c>
      <c r="H33" s="43">
        <f t="shared" si="5"/>
        <v>6709</v>
      </c>
      <c r="I33" s="5">
        <v>6533</v>
      </c>
      <c r="J33" s="5">
        <v>176</v>
      </c>
      <c r="K33" s="48">
        <f t="shared" si="6"/>
        <v>27.696950102381724</v>
      </c>
    </row>
    <row r="34" spans="2:11" x14ac:dyDescent="0.2">
      <c r="B34" s="1" t="s">
        <v>252</v>
      </c>
      <c r="C34" s="18">
        <f t="shared" si="4"/>
        <v>2495</v>
      </c>
      <c r="D34" s="19" t="s">
        <v>52</v>
      </c>
      <c r="E34" s="5">
        <v>1397</v>
      </c>
      <c r="F34" s="5">
        <v>1098</v>
      </c>
      <c r="G34" s="19" t="s">
        <v>52</v>
      </c>
      <c r="H34" s="43">
        <f t="shared" si="5"/>
        <v>5700</v>
      </c>
      <c r="I34" s="5">
        <v>5544</v>
      </c>
      <c r="J34" s="5">
        <v>156</v>
      </c>
      <c r="K34" s="48">
        <f t="shared" si="6"/>
        <v>30.445393532641855</v>
      </c>
    </row>
    <row r="35" spans="2:11" x14ac:dyDescent="0.2">
      <c r="B35" s="1" t="s">
        <v>253</v>
      </c>
      <c r="C35" s="18">
        <f t="shared" si="4"/>
        <v>9382</v>
      </c>
      <c r="D35" s="5">
        <v>2352</v>
      </c>
      <c r="E35" s="5">
        <v>4491</v>
      </c>
      <c r="F35" s="5">
        <v>2539</v>
      </c>
      <c r="G35" s="19" t="s">
        <v>52</v>
      </c>
      <c r="H35" s="43">
        <f t="shared" si="5"/>
        <v>11760</v>
      </c>
      <c r="I35" s="5">
        <v>11358</v>
      </c>
      <c r="J35" s="5">
        <v>402</v>
      </c>
      <c r="K35" s="48">
        <f t="shared" si="6"/>
        <v>44.376123356352288</v>
      </c>
    </row>
    <row r="36" spans="2:11" x14ac:dyDescent="0.2">
      <c r="B36" s="1" t="s">
        <v>254</v>
      </c>
      <c r="C36" s="18">
        <f t="shared" si="4"/>
        <v>15010</v>
      </c>
      <c r="D36" s="19" t="s">
        <v>52</v>
      </c>
      <c r="E36" s="5">
        <v>8139</v>
      </c>
      <c r="F36" s="5">
        <v>6871</v>
      </c>
      <c r="G36" s="19" t="s">
        <v>52</v>
      </c>
      <c r="H36" s="43">
        <f t="shared" si="5"/>
        <v>30002</v>
      </c>
      <c r="I36" s="5">
        <v>29237</v>
      </c>
      <c r="J36" s="5">
        <v>765</v>
      </c>
      <c r="K36" s="48">
        <f t="shared" si="6"/>
        <v>33.346663112059005</v>
      </c>
    </row>
    <row r="37" spans="2:11" x14ac:dyDescent="0.2">
      <c r="B37" s="1" t="s">
        <v>255</v>
      </c>
      <c r="C37" s="18">
        <f t="shared" si="4"/>
        <v>7376</v>
      </c>
      <c r="D37" s="19" t="s">
        <v>52</v>
      </c>
      <c r="E37" s="5">
        <v>757</v>
      </c>
      <c r="F37" s="5">
        <v>6619</v>
      </c>
      <c r="G37" s="19" t="s">
        <v>52</v>
      </c>
      <c r="H37" s="43">
        <f t="shared" si="5"/>
        <v>14122</v>
      </c>
      <c r="I37" s="5">
        <v>14041</v>
      </c>
      <c r="J37" s="5">
        <v>81</v>
      </c>
      <c r="K37" s="48">
        <f t="shared" si="6"/>
        <v>34.310168387757003</v>
      </c>
    </row>
    <row r="38" spans="2:11" x14ac:dyDescent="0.2">
      <c r="B38" s="1" t="s">
        <v>256</v>
      </c>
      <c r="C38" s="18">
        <f t="shared" si="4"/>
        <v>8458</v>
      </c>
      <c r="D38" s="19" t="s">
        <v>52</v>
      </c>
      <c r="E38" s="5">
        <v>758</v>
      </c>
      <c r="F38" s="5">
        <v>7700</v>
      </c>
      <c r="G38" s="19" t="s">
        <v>52</v>
      </c>
      <c r="H38" s="43">
        <f t="shared" si="5"/>
        <v>7755</v>
      </c>
      <c r="I38" s="5">
        <v>7650</v>
      </c>
      <c r="J38" s="5">
        <v>105</v>
      </c>
      <c r="K38" s="48">
        <f t="shared" si="6"/>
        <v>52.168013322642324</v>
      </c>
    </row>
    <row r="39" spans="2:11" x14ac:dyDescent="0.2">
      <c r="B39" s="1" t="s">
        <v>257</v>
      </c>
      <c r="C39" s="18">
        <f t="shared" si="4"/>
        <v>2015</v>
      </c>
      <c r="D39" s="19" t="s">
        <v>52</v>
      </c>
      <c r="E39" s="5">
        <v>93</v>
      </c>
      <c r="F39" s="5">
        <v>1922</v>
      </c>
      <c r="G39" s="19" t="s">
        <v>52</v>
      </c>
      <c r="H39" s="43">
        <f t="shared" si="5"/>
        <v>4598</v>
      </c>
      <c r="I39" s="5">
        <v>4488</v>
      </c>
      <c r="J39" s="5">
        <v>110</v>
      </c>
      <c r="K39" s="48">
        <f t="shared" si="6"/>
        <v>30.470285800695603</v>
      </c>
    </row>
    <row r="40" spans="2:11" x14ac:dyDescent="0.2">
      <c r="B40" s="1" t="s">
        <v>258</v>
      </c>
      <c r="C40" s="18">
        <f t="shared" si="4"/>
        <v>4355</v>
      </c>
      <c r="D40" s="5">
        <v>3886</v>
      </c>
      <c r="E40" s="5">
        <v>136</v>
      </c>
      <c r="F40" s="5">
        <v>120</v>
      </c>
      <c r="G40" s="5">
        <v>213</v>
      </c>
      <c r="H40" s="43">
        <f t="shared" si="5"/>
        <v>1048</v>
      </c>
      <c r="I40" s="5">
        <v>980</v>
      </c>
      <c r="J40" s="5">
        <v>68</v>
      </c>
      <c r="K40" s="48">
        <f t="shared" si="6"/>
        <v>80.603368498982036</v>
      </c>
    </row>
    <row r="41" spans="2:11" x14ac:dyDescent="0.2">
      <c r="B41" s="1" t="s">
        <v>259</v>
      </c>
      <c r="C41" s="18">
        <f t="shared" si="4"/>
        <v>121</v>
      </c>
      <c r="D41" s="19" t="s">
        <v>52</v>
      </c>
      <c r="E41" s="5">
        <v>47</v>
      </c>
      <c r="F41" s="5">
        <v>74</v>
      </c>
      <c r="G41" s="19" t="s">
        <v>52</v>
      </c>
      <c r="H41" s="43">
        <f t="shared" si="5"/>
        <v>521</v>
      </c>
      <c r="I41" s="5">
        <v>521</v>
      </c>
      <c r="J41" s="19" t="s">
        <v>52</v>
      </c>
      <c r="K41" s="48">
        <f t="shared" si="6"/>
        <v>18.847352024922117</v>
      </c>
    </row>
    <row r="42" spans="2:11" x14ac:dyDescent="0.2">
      <c r="B42" s="1" t="s">
        <v>260</v>
      </c>
      <c r="C42" s="18">
        <f t="shared" si="4"/>
        <v>7618</v>
      </c>
      <c r="D42" s="19" t="s">
        <v>52</v>
      </c>
      <c r="E42" s="5">
        <v>182</v>
      </c>
      <c r="F42" s="5">
        <v>7436</v>
      </c>
      <c r="G42" s="19" t="s">
        <v>52</v>
      </c>
      <c r="H42" s="43">
        <f t="shared" si="5"/>
        <v>8089</v>
      </c>
      <c r="I42" s="5">
        <v>8089</v>
      </c>
      <c r="J42" s="19" t="s">
        <v>52</v>
      </c>
      <c r="K42" s="48">
        <f t="shared" si="6"/>
        <v>48.500668491755263</v>
      </c>
    </row>
    <row r="43" spans="2:11" x14ac:dyDescent="0.2">
      <c r="B43" s="1" t="s">
        <v>261</v>
      </c>
      <c r="C43" s="18">
        <f t="shared" si="4"/>
        <v>3148</v>
      </c>
      <c r="D43" s="19" t="s">
        <v>52</v>
      </c>
      <c r="E43" s="5">
        <v>479</v>
      </c>
      <c r="F43" s="5">
        <v>2669</v>
      </c>
      <c r="G43" s="19" t="s">
        <v>52</v>
      </c>
      <c r="H43" s="43">
        <f t="shared" si="5"/>
        <v>5345</v>
      </c>
      <c r="I43" s="5">
        <v>5345</v>
      </c>
      <c r="J43" s="19" t="s">
        <v>52</v>
      </c>
      <c r="K43" s="48">
        <f t="shared" si="6"/>
        <v>37.065818909690336</v>
      </c>
    </row>
    <row r="44" spans="2:11" x14ac:dyDescent="0.2">
      <c r="B44" s="1" t="s">
        <v>262</v>
      </c>
      <c r="C44" s="18">
        <f t="shared" si="4"/>
        <v>3496</v>
      </c>
      <c r="D44" s="19" t="s">
        <v>52</v>
      </c>
      <c r="E44" s="5">
        <v>322</v>
      </c>
      <c r="F44" s="5">
        <v>3174</v>
      </c>
      <c r="G44" s="19" t="s">
        <v>52</v>
      </c>
      <c r="H44" s="43">
        <f t="shared" si="5"/>
        <v>10922</v>
      </c>
      <c r="I44" s="5">
        <v>10872</v>
      </c>
      <c r="J44" s="5">
        <v>50</v>
      </c>
      <c r="K44" s="48">
        <f t="shared" si="6"/>
        <v>24.247468442224996</v>
      </c>
    </row>
    <row r="45" spans="2:11" x14ac:dyDescent="0.2">
      <c r="B45" s="1" t="s">
        <v>263</v>
      </c>
      <c r="C45" s="18">
        <f t="shared" si="4"/>
        <v>1820</v>
      </c>
      <c r="D45" s="19" t="s">
        <v>52</v>
      </c>
      <c r="E45" s="5">
        <v>95</v>
      </c>
      <c r="F45" s="5">
        <v>1725</v>
      </c>
      <c r="G45" s="19" t="s">
        <v>52</v>
      </c>
      <c r="H45" s="43">
        <f t="shared" si="5"/>
        <v>8505</v>
      </c>
      <c r="I45" s="5">
        <v>8106</v>
      </c>
      <c r="J45" s="5">
        <v>399</v>
      </c>
      <c r="K45" s="48">
        <f t="shared" si="6"/>
        <v>17.627118644067796</v>
      </c>
    </row>
    <row r="46" spans="2:11" x14ac:dyDescent="0.2">
      <c r="B46" s="1" t="s">
        <v>264</v>
      </c>
      <c r="C46" s="18">
        <f t="shared" si="4"/>
        <v>729</v>
      </c>
      <c r="D46" s="19" t="s">
        <v>52</v>
      </c>
      <c r="E46" s="5">
        <v>143</v>
      </c>
      <c r="F46" s="5">
        <v>586</v>
      </c>
      <c r="G46" s="19" t="s">
        <v>52</v>
      </c>
      <c r="H46" s="43">
        <f t="shared" si="5"/>
        <v>4739</v>
      </c>
      <c r="I46" s="5">
        <v>4694</v>
      </c>
      <c r="J46" s="5">
        <v>45</v>
      </c>
      <c r="K46" s="48">
        <f t="shared" si="6"/>
        <v>13.332114118507683</v>
      </c>
    </row>
    <row r="47" spans="2:11" x14ac:dyDescent="0.2">
      <c r="B47" s="1" t="s">
        <v>265</v>
      </c>
      <c r="C47" s="18">
        <f t="shared" si="4"/>
        <v>4806</v>
      </c>
      <c r="D47" s="19" t="s">
        <v>52</v>
      </c>
      <c r="E47" s="5">
        <v>581</v>
      </c>
      <c r="F47" s="5">
        <v>2094</v>
      </c>
      <c r="G47" s="5">
        <v>2131</v>
      </c>
      <c r="H47" s="43">
        <f t="shared" si="5"/>
        <v>4082</v>
      </c>
      <c r="I47" s="5">
        <v>4082</v>
      </c>
      <c r="J47" s="19" t="s">
        <v>52</v>
      </c>
      <c r="K47" s="48">
        <f t="shared" si="6"/>
        <v>54.072907290729077</v>
      </c>
    </row>
    <row r="48" spans="2:11" x14ac:dyDescent="0.2">
      <c r="B48" s="1" t="s">
        <v>266</v>
      </c>
      <c r="C48" s="18">
        <f t="shared" si="4"/>
        <v>1959</v>
      </c>
      <c r="D48" s="19" t="s">
        <v>52</v>
      </c>
      <c r="E48" s="5">
        <v>1297</v>
      </c>
      <c r="F48" s="5">
        <v>662</v>
      </c>
      <c r="G48" s="19" t="s">
        <v>52</v>
      </c>
      <c r="H48" s="43">
        <f t="shared" si="5"/>
        <v>5358</v>
      </c>
      <c r="I48" s="5">
        <v>5338</v>
      </c>
      <c r="J48" s="5">
        <v>20</v>
      </c>
      <c r="K48" s="48">
        <f t="shared" si="6"/>
        <v>26.773267732677326</v>
      </c>
    </row>
    <row r="49" spans="2:11" x14ac:dyDescent="0.2">
      <c r="B49" s="1" t="s">
        <v>267</v>
      </c>
      <c r="C49" s="18">
        <f t="shared" si="4"/>
        <v>3646</v>
      </c>
      <c r="D49" s="19" t="s">
        <v>52</v>
      </c>
      <c r="E49" s="5">
        <v>1566</v>
      </c>
      <c r="F49" s="5">
        <v>2080</v>
      </c>
      <c r="G49" s="19" t="s">
        <v>52</v>
      </c>
      <c r="H49" s="43">
        <f t="shared" si="5"/>
        <v>4547</v>
      </c>
      <c r="I49" s="5">
        <v>4397</v>
      </c>
      <c r="J49" s="5">
        <v>150</v>
      </c>
      <c r="K49" s="48">
        <f t="shared" si="6"/>
        <v>44.501403637251315</v>
      </c>
    </row>
    <row r="50" spans="2:11" x14ac:dyDescent="0.2">
      <c r="B50" s="1" t="s">
        <v>268</v>
      </c>
      <c r="C50" s="18">
        <f t="shared" si="4"/>
        <v>3577</v>
      </c>
      <c r="D50" s="19" t="s">
        <v>52</v>
      </c>
      <c r="E50" s="5">
        <v>1766</v>
      </c>
      <c r="F50" s="5">
        <v>1768</v>
      </c>
      <c r="G50" s="5">
        <v>43</v>
      </c>
      <c r="H50" s="43">
        <f t="shared" si="5"/>
        <v>3425</v>
      </c>
      <c r="I50" s="5">
        <v>3425</v>
      </c>
      <c r="J50" s="19" t="s">
        <v>52</v>
      </c>
      <c r="K50" s="48">
        <f t="shared" si="6"/>
        <v>51.085404170237069</v>
      </c>
    </row>
    <row r="51" spans="2:11" x14ac:dyDescent="0.2">
      <c r="B51" s="1" t="s">
        <v>269</v>
      </c>
      <c r="C51" s="18">
        <f t="shared" si="4"/>
        <v>823</v>
      </c>
      <c r="D51" s="19" t="s">
        <v>52</v>
      </c>
      <c r="E51" s="5">
        <v>390</v>
      </c>
      <c r="F51" s="5">
        <v>433</v>
      </c>
      <c r="G51" s="19" t="s">
        <v>52</v>
      </c>
      <c r="H51" s="43">
        <f t="shared" si="5"/>
        <v>1831</v>
      </c>
      <c r="I51" s="5">
        <v>1556</v>
      </c>
      <c r="J51" s="5">
        <v>275</v>
      </c>
      <c r="K51" s="48">
        <f t="shared" si="6"/>
        <v>31.009796533534288</v>
      </c>
    </row>
    <row r="52" spans="2:11" x14ac:dyDescent="0.2">
      <c r="B52" s="1" t="s">
        <v>270</v>
      </c>
      <c r="C52" s="18">
        <f t="shared" si="4"/>
        <v>350</v>
      </c>
      <c r="D52" s="19" t="s">
        <v>52</v>
      </c>
      <c r="E52" s="5">
        <v>171</v>
      </c>
      <c r="F52" s="5">
        <v>179</v>
      </c>
      <c r="G52" s="19" t="s">
        <v>52</v>
      </c>
      <c r="H52" s="43">
        <f t="shared" si="5"/>
        <v>2006</v>
      </c>
      <c r="I52" s="5">
        <v>1607</v>
      </c>
      <c r="J52" s="5">
        <v>399</v>
      </c>
      <c r="K52" s="48">
        <f t="shared" si="6"/>
        <v>14.855687606112053</v>
      </c>
    </row>
    <row r="53" spans="2:11" x14ac:dyDescent="0.2">
      <c r="B53" s="1" t="s">
        <v>271</v>
      </c>
      <c r="C53" s="18">
        <f t="shared" si="4"/>
        <v>1634</v>
      </c>
      <c r="D53" s="19" t="s">
        <v>52</v>
      </c>
      <c r="E53" s="5">
        <v>952</v>
      </c>
      <c r="F53" s="5">
        <v>682</v>
      </c>
      <c r="G53" s="19" t="s">
        <v>52</v>
      </c>
      <c r="H53" s="43">
        <f t="shared" si="5"/>
        <v>3104</v>
      </c>
      <c r="I53" s="5">
        <v>2976</v>
      </c>
      <c r="J53" s="5">
        <v>128</v>
      </c>
      <c r="K53" s="48">
        <f t="shared" si="6"/>
        <v>34.48712536935416</v>
      </c>
    </row>
    <row r="54" spans="2:11" x14ac:dyDescent="0.2">
      <c r="B54" s="1" t="s">
        <v>272</v>
      </c>
      <c r="C54" s="18">
        <f t="shared" si="4"/>
        <v>1864</v>
      </c>
      <c r="D54" s="19" t="s">
        <v>52</v>
      </c>
      <c r="E54" s="5">
        <v>1313</v>
      </c>
      <c r="F54" s="5">
        <v>551</v>
      </c>
      <c r="G54" s="19" t="s">
        <v>52</v>
      </c>
      <c r="H54" s="43">
        <f t="shared" si="5"/>
        <v>5022</v>
      </c>
      <c r="I54" s="5">
        <v>4982</v>
      </c>
      <c r="J54" s="5">
        <v>40</v>
      </c>
      <c r="K54" s="48">
        <f t="shared" si="6"/>
        <v>27.069416206796397</v>
      </c>
    </row>
    <row r="55" spans="2:11" x14ac:dyDescent="0.2">
      <c r="B55" s="1" t="s">
        <v>273</v>
      </c>
      <c r="C55" s="18">
        <f t="shared" si="4"/>
        <v>5095</v>
      </c>
      <c r="D55" s="19" t="s">
        <v>52</v>
      </c>
      <c r="E55" s="5">
        <v>611</v>
      </c>
      <c r="F55" s="5">
        <v>4484</v>
      </c>
      <c r="G55" s="19" t="s">
        <v>52</v>
      </c>
      <c r="H55" s="43">
        <f t="shared" si="5"/>
        <v>3266</v>
      </c>
      <c r="I55" s="5">
        <v>3266</v>
      </c>
      <c r="J55" s="19" t="s">
        <v>52</v>
      </c>
      <c r="K55" s="48">
        <f t="shared" si="6"/>
        <v>60.937686879559863</v>
      </c>
    </row>
    <row r="56" spans="2:11" x14ac:dyDescent="0.2">
      <c r="B56" s="1" t="s">
        <v>274</v>
      </c>
      <c r="C56" s="18">
        <f t="shared" si="4"/>
        <v>4994</v>
      </c>
      <c r="D56" s="19" t="s">
        <v>52</v>
      </c>
      <c r="E56" s="5">
        <v>800</v>
      </c>
      <c r="F56" s="5">
        <v>4194</v>
      </c>
      <c r="G56" s="19" t="s">
        <v>52</v>
      </c>
      <c r="H56" s="43">
        <f t="shared" si="5"/>
        <v>5275</v>
      </c>
      <c r="I56" s="5">
        <v>5275</v>
      </c>
      <c r="J56" s="19" t="s">
        <v>52</v>
      </c>
      <c r="K56" s="48">
        <f t="shared" si="6"/>
        <v>48.631804460025322</v>
      </c>
    </row>
    <row r="57" spans="2:11" x14ac:dyDescent="0.2">
      <c r="B57" s="1" t="s">
        <v>275</v>
      </c>
      <c r="C57" s="18">
        <f t="shared" si="4"/>
        <v>13352</v>
      </c>
      <c r="D57" s="5">
        <v>488</v>
      </c>
      <c r="E57" s="5">
        <v>3673</v>
      </c>
      <c r="F57" s="5">
        <v>9191</v>
      </c>
      <c r="G57" s="19" t="s">
        <v>52</v>
      </c>
      <c r="H57" s="43">
        <f t="shared" si="5"/>
        <v>6747</v>
      </c>
      <c r="I57" s="5">
        <v>6747</v>
      </c>
      <c r="J57" s="19" t="s">
        <v>52</v>
      </c>
      <c r="K57" s="48">
        <f t="shared" si="6"/>
        <v>66.43116572963828</v>
      </c>
    </row>
    <row r="58" spans="2:11" x14ac:dyDescent="0.2">
      <c r="B58" s="1" t="s">
        <v>276</v>
      </c>
      <c r="C58" s="18">
        <f t="shared" si="4"/>
        <v>1204</v>
      </c>
      <c r="D58" s="19" t="s">
        <v>52</v>
      </c>
      <c r="E58" s="5">
        <v>867</v>
      </c>
      <c r="F58" s="5">
        <v>337</v>
      </c>
      <c r="G58" s="19" t="s">
        <v>52</v>
      </c>
      <c r="H58" s="43">
        <f t="shared" si="5"/>
        <v>2870</v>
      </c>
      <c r="I58" s="5">
        <v>2770</v>
      </c>
      <c r="J58" s="5">
        <v>100</v>
      </c>
      <c r="K58" s="48">
        <f t="shared" si="6"/>
        <v>29.553264604810998</v>
      </c>
    </row>
    <row r="59" spans="2:11" x14ac:dyDescent="0.2">
      <c r="B59" s="1" t="s">
        <v>277</v>
      </c>
      <c r="C59" s="18">
        <f t="shared" si="4"/>
        <v>663</v>
      </c>
      <c r="D59" s="19" t="s">
        <v>52</v>
      </c>
      <c r="E59" s="5">
        <v>538</v>
      </c>
      <c r="F59" s="5">
        <v>125</v>
      </c>
      <c r="G59" s="19" t="s">
        <v>52</v>
      </c>
      <c r="H59" s="43">
        <f t="shared" si="5"/>
        <v>2689</v>
      </c>
      <c r="I59" s="5">
        <v>2047</v>
      </c>
      <c r="J59" s="5">
        <v>642</v>
      </c>
      <c r="K59" s="48">
        <f t="shared" si="6"/>
        <v>19.779236276849645</v>
      </c>
    </row>
    <row r="60" spans="2:11" x14ac:dyDescent="0.2">
      <c r="B60" s="1" t="s">
        <v>278</v>
      </c>
      <c r="C60" s="18">
        <f t="shared" si="4"/>
        <v>8040</v>
      </c>
      <c r="D60" s="19" t="s">
        <v>52</v>
      </c>
      <c r="E60" s="5">
        <v>5470</v>
      </c>
      <c r="F60" s="5">
        <v>2570</v>
      </c>
      <c r="G60" s="19" t="s">
        <v>52</v>
      </c>
      <c r="H60" s="43">
        <f t="shared" si="5"/>
        <v>6397</v>
      </c>
      <c r="I60" s="5">
        <v>6397</v>
      </c>
      <c r="J60" s="19" t="s">
        <v>52</v>
      </c>
      <c r="K60" s="48">
        <f t="shared" si="6"/>
        <v>55.690240354644317</v>
      </c>
    </row>
    <row r="61" spans="2:11" x14ac:dyDescent="0.2">
      <c r="B61" s="1" t="s">
        <v>279</v>
      </c>
      <c r="C61" s="18">
        <f t="shared" si="4"/>
        <v>2271</v>
      </c>
      <c r="D61" s="19" t="s">
        <v>52</v>
      </c>
      <c r="E61" s="5">
        <v>421</v>
      </c>
      <c r="F61" s="5">
        <v>1850</v>
      </c>
      <c r="G61" s="19" t="s">
        <v>52</v>
      </c>
      <c r="H61" s="43">
        <f t="shared" si="5"/>
        <v>3095</v>
      </c>
      <c r="I61" s="5">
        <v>3052</v>
      </c>
      <c r="J61" s="5">
        <v>43</v>
      </c>
      <c r="K61" s="48">
        <f t="shared" si="6"/>
        <v>42.322027581065967</v>
      </c>
    </row>
    <row r="62" spans="2:11" x14ac:dyDescent="0.2">
      <c r="B62" s="1" t="s">
        <v>280</v>
      </c>
      <c r="C62" s="18">
        <f t="shared" si="4"/>
        <v>2541</v>
      </c>
      <c r="D62" s="19" t="s">
        <v>52</v>
      </c>
      <c r="E62" s="5">
        <v>942</v>
      </c>
      <c r="F62" s="5">
        <v>1599</v>
      </c>
      <c r="G62" s="19" t="s">
        <v>52</v>
      </c>
      <c r="H62" s="43">
        <f t="shared" si="5"/>
        <v>3690</v>
      </c>
      <c r="I62" s="5">
        <v>3565</v>
      </c>
      <c r="J62" s="5">
        <v>125</v>
      </c>
      <c r="K62" s="48">
        <f t="shared" si="6"/>
        <v>40.77997111218103</v>
      </c>
    </row>
    <row r="63" spans="2:11" x14ac:dyDescent="0.2">
      <c r="B63" s="1" t="s">
        <v>281</v>
      </c>
      <c r="C63" s="18">
        <f t="shared" si="4"/>
        <v>7284</v>
      </c>
      <c r="D63" s="5">
        <v>212</v>
      </c>
      <c r="E63" s="5">
        <v>856</v>
      </c>
      <c r="F63" s="5">
        <v>6216</v>
      </c>
      <c r="G63" s="19" t="s">
        <v>52</v>
      </c>
      <c r="H63" s="43">
        <f t="shared" si="5"/>
        <v>9199</v>
      </c>
      <c r="I63" s="5">
        <v>9153</v>
      </c>
      <c r="J63" s="5">
        <v>46</v>
      </c>
      <c r="K63" s="48">
        <f t="shared" si="6"/>
        <v>44.190984650852393</v>
      </c>
    </row>
    <row r="64" spans="2:11" x14ac:dyDescent="0.2">
      <c r="B64" s="1" t="s">
        <v>282</v>
      </c>
      <c r="C64" s="18">
        <f t="shared" si="4"/>
        <v>8502</v>
      </c>
      <c r="D64" s="19" t="s">
        <v>52</v>
      </c>
      <c r="E64" s="5">
        <v>1249</v>
      </c>
      <c r="F64" s="5">
        <v>7253</v>
      </c>
      <c r="G64" s="19" t="s">
        <v>52</v>
      </c>
      <c r="H64" s="43">
        <f t="shared" si="5"/>
        <v>11808</v>
      </c>
      <c r="I64" s="5">
        <v>11273</v>
      </c>
      <c r="J64" s="5">
        <v>535</v>
      </c>
      <c r="K64" s="48">
        <f t="shared" si="6"/>
        <v>41.861152141802066</v>
      </c>
    </row>
    <row r="65" spans="1:11" x14ac:dyDescent="0.2">
      <c r="B65" s="1" t="s">
        <v>283</v>
      </c>
      <c r="C65" s="18">
        <f t="shared" si="4"/>
        <v>2660</v>
      </c>
      <c r="D65" s="5">
        <v>1840</v>
      </c>
      <c r="E65" s="5">
        <v>161</v>
      </c>
      <c r="F65" s="5">
        <v>659</v>
      </c>
      <c r="G65" s="19" t="s">
        <v>52</v>
      </c>
      <c r="H65" s="43">
        <f t="shared" si="5"/>
        <v>1387</v>
      </c>
      <c r="I65" s="5">
        <v>1387</v>
      </c>
      <c r="J65" s="19" t="s">
        <v>52</v>
      </c>
      <c r="K65" s="48">
        <f t="shared" si="6"/>
        <v>65.727699530516432</v>
      </c>
    </row>
    <row r="66" spans="1:11" x14ac:dyDescent="0.2">
      <c r="B66" s="1" t="s">
        <v>284</v>
      </c>
      <c r="C66" s="18">
        <f t="shared" si="4"/>
        <v>2297</v>
      </c>
      <c r="D66" s="19" t="s">
        <v>52</v>
      </c>
      <c r="E66" s="5">
        <v>329</v>
      </c>
      <c r="F66" s="5">
        <v>1968</v>
      </c>
      <c r="G66" s="19" t="s">
        <v>52</v>
      </c>
      <c r="H66" s="43">
        <f t="shared" si="5"/>
        <v>3957</v>
      </c>
      <c r="I66" s="5">
        <v>3945</v>
      </c>
      <c r="J66" s="5">
        <v>12</v>
      </c>
      <c r="K66" s="48">
        <f t="shared" si="6"/>
        <v>36.728493763991047</v>
      </c>
    </row>
    <row r="67" spans="1:11" x14ac:dyDescent="0.2">
      <c r="B67" s="1" t="s">
        <v>285</v>
      </c>
      <c r="C67" s="18">
        <f t="shared" si="4"/>
        <v>411</v>
      </c>
      <c r="D67" s="19" t="s">
        <v>52</v>
      </c>
      <c r="E67" s="5">
        <v>282</v>
      </c>
      <c r="F67" s="5">
        <v>129</v>
      </c>
      <c r="G67" s="19" t="s">
        <v>52</v>
      </c>
      <c r="H67" s="43">
        <f t="shared" si="5"/>
        <v>3589</v>
      </c>
      <c r="I67" s="5">
        <v>3499</v>
      </c>
      <c r="J67" s="5">
        <v>90</v>
      </c>
      <c r="K67" s="48">
        <f t="shared" si="6"/>
        <v>10.274999999999999</v>
      </c>
    </row>
    <row r="68" spans="1:11" x14ac:dyDescent="0.2">
      <c r="B68" s="1" t="s">
        <v>286</v>
      </c>
      <c r="C68" s="18">
        <f t="shared" si="4"/>
        <v>585</v>
      </c>
      <c r="D68" s="19" t="s">
        <v>52</v>
      </c>
      <c r="E68" s="5">
        <v>159</v>
      </c>
      <c r="F68" s="5">
        <v>426</v>
      </c>
      <c r="G68" s="19" t="s">
        <v>52</v>
      </c>
      <c r="H68" s="43">
        <f t="shared" si="5"/>
        <v>1598</v>
      </c>
      <c r="I68" s="5">
        <v>1543</v>
      </c>
      <c r="J68" s="5">
        <v>55</v>
      </c>
      <c r="K68" s="48">
        <f t="shared" si="6"/>
        <v>26.797984425103071</v>
      </c>
    </row>
    <row r="69" spans="1:11" x14ac:dyDescent="0.2">
      <c r="B69" s="1" t="s">
        <v>287</v>
      </c>
      <c r="C69" s="18">
        <f t="shared" si="4"/>
        <v>862</v>
      </c>
      <c r="D69" s="5">
        <v>48</v>
      </c>
      <c r="E69" s="5">
        <v>324</v>
      </c>
      <c r="F69" s="5">
        <v>490</v>
      </c>
      <c r="G69" s="19" t="s">
        <v>52</v>
      </c>
      <c r="H69" s="43">
        <f t="shared" si="5"/>
        <v>3344</v>
      </c>
      <c r="I69" s="5">
        <v>2757</v>
      </c>
      <c r="J69" s="5">
        <v>587</v>
      </c>
      <c r="K69" s="48">
        <f t="shared" si="6"/>
        <v>20.494531621493106</v>
      </c>
    </row>
    <row r="70" spans="1:11" x14ac:dyDescent="0.2">
      <c r="B70" s="1" t="s">
        <v>288</v>
      </c>
      <c r="C70" s="18">
        <f t="shared" si="4"/>
        <v>256</v>
      </c>
      <c r="D70" s="19" t="s">
        <v>52</v>
      </c>
      <c r="E70" s="5">
        <v>94</v>
      </c>
      <c r="F70" s="5">
        <v>162</v>
      </c>
      <c r="G70" s="19" t="s">
        <v>52</v>
      </c>
      <c r="H70" s="43">
        <f t="shared" si="5"/>
        <v>352</v>
      </c>
      <c r="I70" s="5">
        <v>243</v>
      </c>
      <c r="J70" s="5">
        <v>109</v>
      </c>
      <c r="K70" s="48">
        <f t="shared" si="6"/>
        <v>42.105263157894733</v>
      </c>
    </row>
    <row r="71" spans="1:11" ht="18" thickBot="1" x14ac:dyDescent="0.25">
      <c r="B71" s="51"/>
      <c r="C71" s="23"/>
      <c r="D71" s="6"/>
      <c r="E71" s="6"/>
      <c r="F71" s="6"/>
      <c r="G71" s="6"/>
      <c r="H71" s="6"/>
      <c r="I71" s="51"/>
      <c r="J71" s="7" t="s">
        <v>18</v>
      </c>
      <c r="K71" s="23"/>
    </row>
    <row r="72" spans="1:11" x14ac:dyDescent="0.2">
      <c r="B72" s="21"/>
      <c r="C72" s="1" t="s">
        <v>313</v>
      </c>
      <c r="I72" s="21"/>
    </row>
    <row r="73" spans="1:11" x14ac:dyDescent="0.2">
      <c r="A73" s="1"/>
      <c r="B73" s="21"/>
      <c r="I73" s="2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Q22" sqref="Q22"/>
    </sheetView>
  </sheetViews>
  <sheetFormatPr defaultColWidth="12.125" defaultRowHeight="17.25" x14ac:dyDescent="0.2"/>
  <cols>
    <col min="1" max="1" width="13.375" style="2" customWidth="1"/>
    <col min="2" max="2" width="2.125" style="2" customWidth="1"/>
    <col min="3" max="3" width="18.375" style="2" customWidth="1"/>
    <col min="4" max="7" width="13.375" style="2" customWidth="1"/>
    <col min="8" max="9" width="10.875" style="2" customWidth="1"/>
    <col min="10" max="10" width="13.375" style="2" customWidth="1"/>
    <col min="11" max="256" width="12.125" style="2"/>
    <col min="257" max="257" width="13.375" style="2" customWidth="1"/>
    <col min="258" max="258" width="2.125" style="2" customWidth="1"/>
    <col min="259" max="259" width="18.375" style="2" customWidth="1"/>
    <col min="260" max="263" width="13.375" style="2" customWidth="1"/>
    <col min="264" max="265" width="10.875" style="2" customWidth="1"/>
    <col min="266" max="266" width="13.375" style="2" customWidth="1"/>
    <col min="267" max="512" width="12.125" style="2"/>
    <col min="513" max="513" width="13.375" style="2" customWidth="1"/>
    <col min="514" max="514" width="2.125" style="2" customWidth="1"/>
    <col min="515" max="515" width="18.375" style="2" customWidth="1"/>
    <col min="516" max="519" width="13.375" style="2" customWidth="1"/>
    <col min="520" max="521" width="10.875" style="2" customWidth="1"/>
    <col min="522" max="522" width="13.375" style="2" customWidth="1"/>
    <col min="523" max="768" width="12.125" style="2"/>
    <col min="769" max="769" width="13.375" style="2" customWidth="1"/>
    <col min="770" max="770" width="2.125" style="2" customWidth="1"/>
    <col min="771" max="771" width="18.375" style="2" customWidth="1"/>
    <col min="772" max="775" width="13.375" style="2" customWidth="1"/>
    <col min="776" max="777" width="10.875" style="2" customWidth="1"/>
    <col min="778" max="778" width="13.375" style="2" customWidth="1"/>
    <col min="779" max="1024" width="12.125" style="2"/>
    <col min="1025" max="1025" width="13.375" style="2" customWidth="1"/>
    <col min="1026" max="1026" width="2.125" style="2" customWidth="1"/>
    <col min="1027" max="1027" width="18.375" style="2" customWidth="1"/>
    <col min="1028" max="1031" width="13.375" style="2" customWidth="1"/>
    <col min="1032" max="1033" width="10.875" style="2" customWidth="1"/>
    <col min="1034" max="1034" width="13.375" style="2" customWidth="1"/>
    <col min="1035" max="1280" width="12.125" style="2"/>
    <col min="1281" max="1281" width="13.375" style="2" customWidth="1"/>
    <col min="1282" max="1282" width="2.125" style="2" customWidth="1"/>
    <col min="1283" max="1283" width="18.375" style="2" customWidth="1"/>
    <col min="1284" max="1287" width="13.375" style="2" customWidth="1"/>
    <col min="1288" max="1289" width="10.875" style="2" customWidth="1"/>
    <col min="1290" max="1290" width="13.375" style="2" customWidth="1"/>
    <col min="1291" max="1536" width="12.125" style="2"/>
    <col min="1537" max="1537" width="13.375" style="2" customWidth="1"/>
    <col min="1538" max="1538" width="2.125" style="2" customWidth="1"/>
    <col min="1539" max="1539" width="18.375" style="2" customWidth="1"/>
    <col min="1540" max="1543" width="13.375" style="2" customWidth="1"/>
    <col min="1544" max="1545" width="10.875" style="2" customWidth="1"/>
    <col min="1546" max="1546" width="13.375" style="2" customWidth="1"/>
    <col min="1547" max="1792" width="12.125" style="2"/>
    <col min="1793" max="1793" width="13.375" style="2" customWidth="1"/>
    <col min="1794" max="1794" width="2.125" style="2" customWidth="1"/>
    <col min="1795" max="1795" width="18.375" style="2" customWidth="1"/>
    <col min="1796" max="1799" width="13.375" style="2" customWidth="1"/>
    <col min="1800" max="1801" width="10.875" style="2" customWidth="1"/>
    <col min="1802" max="1802" width="13.375" style="2" customWidth="1"/>
    <col min="1803" max="2048" width="12.125" style="2"/>
    <col min="2049" max="2049" width="13.375" style="2" customWidth="1"/>
    <col min="2050" max="2050" width="2.125" style="2" customWidth="1"/>
    <col min="2051" max="2051" width="18.375" style="2" customWidth="1"/>
    <col min="2052" max="2055" width="13.375" style="2" customWidth="1"/>
    <col min="2056" max="2057" width="10.875" style="2" customWidth="1"/>
    <col min="2058" max="2058" width="13.375" style="2" customWidth="1"/>
    <col min="2059" max="2304" width="12.125" style="2"/>
    <col min="2305" max="2305" width="13.375" style="2" customWidth="1"/>
    <col min="2306" max="2306" width="2.125" style="2" customWidth="1"/>
    <col min="2307" max="2307" width="18.375" style="2" customWidth="1"/>
    <col min="2308" max="2311" width="13.375" style="2" customWidth="1"/>
    <col min="2312" max="2313" width="10.875" style="2" customWidth="1"/>
    <col min="2314" max="2314" width="13.375" style="2" customWidth="1"/>
    <col min="2315" max="2560" width="12.125" style="2"/>
    <col min="2561" max="2561" width="13.375" style="2" customWidth="1"/>
    <col min="2562" max="2562" width="2.125" style="2" customWidth="1"/>
    <col min="2563" max="2563" width="18.375" style="2" customWidth="1"/>
    <col min="2564" max="2567" width="13.375" style="2" customWidth="1"/>
    <col min="2568" max="2569" width="10.875" style="2" customWidth="1"/>
    <col min="2570" max="2570" width="13.375" style="2" customWidth="1"/>
    <col min="2571" max="2816" width="12.125" style="2"/>
    <col min="2817" max="2817" width="13.375" style="2" customWidth="1"/>
    <col min="2818" max="2818" width="2.125" style="2" customWidth="1"/>
    <col min="2819" max="2819" width="18.375" style="2" customWidth="1"/>
    <col min="2820" max="2823" width="13.375" style="2" customWidth="1"/>
    <col min="2824" max="2825" width="10.875" style="2" customWidth="1"/>
    <col min="2826" max="2826" width="13.375" style="2" customWidth="1"/>
    <col min="2827" max="3072" width="12.125" style="2"/>
    <col min="3073" max="3073" width="13.375" style="2" customWidth="1"/>
    <col min="3074" max="3074" width="2.125" style="2" customWidth="1"/>
    <col min="3075" max="3075" width="18.375" style="2" customWidth="1"/>
    <col min="3076" max="3079" width="13.375" style="2" customWidth="1"/>
    <col min="3080" max="3081" width="10.875" style="2" customWidth="1"/>
    <col min="3082" max="3082" width="13.375" style="2" customWidth="1"/>
    <col min="3083" max="3328" width="12.125" style="2"/>
    <col min="3329" max="3329" width="13.375" style="2" customWidth="1"/>
    <col min="3330" max="3330" width="2.125" style="2" customWidth="1"/>
    <col min="3331" max="3331" width="18.375" style="2" customWidth="1"/>
    <col min="3332" max="3335" width="13.375" style="2" customWidth="1"/>
    <col min="3336" max="3337" width="10.875" style="2" customWidth="1"/>
    <col min="3338" max="3338" width="13.375" style="2" customWidth="1"/>
    <col min="3339" max="3584" width="12.125" style="2"/>
    <col min="3585" max="3585" width="13.375" style="2" customWidth="1"/>
    <col min="3586" max="3586" width="2.125" style="2" customWidth="1"/>
    <col min="3587" max="3587" width="18.375" style="2" customWidth="1"/>
    <col min="3588" max="3591" width="13.375" style="2" customWidth="1"/>
    <col min="3592" max="3593" width="10.875" style="2" customWidth="1"/>
    <col min="3594" max="3594" width="13.375" style="2" customWidth="1"/>
    <col min="3595" max="3840" width="12.125" style="2"/>
    <col min="3841" max="3841" width="13.375" style="2" customWidth="1"/>
    <col min="3842" max="3842" width="2.125" style="2" customWidth="1"/>
    <col min="3843" max="3843" width="18.375" style="2" customWidth="1"/>
    <col min="3844" max="3847" width="13.375" style="2" customWidth="1"/>
    <col min="3848" max="3849" width="10.875" style="2" customWidth="1"/>
    <col min="3850" max="3850" width="13.375" style="2" customWidth="1"/>
    <col min="3851" max="4096" width="12.125" style="2"/>
    <col min="4097" max="4097" width="13.375" style="2" customWidth="1"/>
    <col min="4098" max="4098" width="2.125" style="2" customWidth="1"/>
    <col min="4099" max="4099" width="18.375" style="2" customWidth="1"/>
    <col min="4100" max="4103" width="13.375" style="2" customWidth="1"/>
    <col min="4104" max="4105" width="10.875" style="2" customWidth="1"/>
    <col min="4106" max="4106" width="13.375" style="2" customWidth="1"/>
    <col min="4107" max="4352" width="12.125" style="2"/>
    <col min="4353" max="4353" width="13.375" style="2" customWidth="1"/>
    <col min="4354" max="4354" width="2.125" style="2" customWidth="1"/>
    <col min="4355" max="4355" width="18.375" style="2" customWidth="1"/>
    <col min="4356" max="4359" width="13.375" style="2" customWidth="1"/>
    <col min="4360" max="4361" width="10.875" style="2" customWidth="1"/>
    <col min="4362" max="4362" width="13.375" style="2" customWidth="1"/>
    <col min="4363" max="4608" width="12.125" style="2"/>
    <col min="4609" max="4609" width="13.375" style="2" customWidth="1"/>
    <col min="4610" max="4610" width="2.125" style="2" customWidth="1"/>
    <col min="4611" max="4611" width="18.375" style="2" customWidth="1"/>
    <col min="4612" max="4615" width="13.375" style="2" customWidth="1"/>
    <col min="4616" max="4617" width="10.875" style="2" customWidth="1"/>
    <col min="4618" max="4618" width="13.375" style="2" customWidth="1"/>
    <col min="4619" max="4864" width="12.125" style="2"/>
    <col min="4865" max="4865" width="13.375" style="2" customWidth="1"/>
    <col min="4866" max="4866" width="2.125" style="2" customWidth="1"/>
    <col min="4867" max="4867" width="18.375" style="2" customWidth="1"/>
    <col min="4868" max="4871" width="13.375" style="2" customWidth="1"/>
    <col min="4872" max="4873" width="10.875" style="2" customWidth="1"/>
    <col min="4874" max="4874" width="13.375" style="2" customWidth="1"/>
    <col min="4875" max="5120" width="12.125" style="2"/>
    <col min="5121" max="5121" width="13.375" style="2" customWidth="1"/>
    <col min="5122" max="5122" width="2.125" style="2" customWidth="1"/>
    <col min="5123" max="5123" width="18.375" style="2" customWidth="1"/>
    <col min="5124" max="5127" width="13.375" style="2" customWidth="1"/>
    <col min="5128" max="5129" width="10.875" style="2" customWidth="1"/>
    <col min="5130" max="5130" width="13.375" style="2" customWidth="1"/>
    <col min="5131" max="5376" width="12.125" style="2"/>
    <col min="5377" max="5377" width="13.375" style="2" customWidth="1"/>
    <col min="5378" max="5378" width="2.125" style="2" customWidth="1"/>
    <col min="5379" max="5379" width="18.375" style="2" customWidth="1"/>
    <col min="5380" max="5383" width="13.375" style="2" customWidth="1"/>
    <col min="5384" max="5385" width="10.875" style="2" customWidth="1"/>
    <col min="5386" max="5386" width="13.375" style="2" customWidth="1"/>
    <col min="5387" max="5632" width="12.125" style="2"/>
    <col min="5633" max="5633" width="13.375" style="2" customWidth="1"/>
    <col min="5634" max="5634" width="2.125" style="2" customWidth="1"/>
    <col min="5635" max="5635" width="18.375" style="2" customWidth="1"/>
    <col min="5636" max="5639" width="13.375" style="2" customWidth="1"/>
    <col min="5640" max="5641" width="10.875" style="2" customWidth="1"/>
    <col min="5642" max="5642" width="13.375" style="2" customWidth="1"/>
    <col min="5643" max="5888" width="12.125" style="2"/>
    <col min="5889" max="5889" width="13.375" style="2" customWidth="1"/>
    <col min="5890" max="5890" width="2.125" style="2" customWidth="1"/>
    <col min="5891" max="5891" width="18.375" style="2" customWidth="1"/>
    <col min="5892" max="5895" width="13.375" style="2" customWidth="1"/>
    <col min="5896" max="5897" width="10.875" style="2" customWidth="1"/>
    <col min="5898" max="5898" width="13.375" style="2" customWidth="1"/>
    <col min="5899" max="6144" width="12.125" style="2"/>
    <col min="6145" max="6145" width="13.375" style="2" customWidth="1"/>
    <col min="6146" max="6146" width="2.125" style="2" customWidth="1"/>
    <col min="6147" max="6147" width="18.375" style="2" customWidth="1"/>
    <col min="6148" max="6151" width="13.375" style="2" customWidth="1"/>
    <col min="6152" max="6153" width="10.875" style="2" customWidth="1"/>
    <col min="6154" max="6154" width="13.375" style="2" customWidth="1"/>
    <col min="6155" max="6400" width="12.125" style="2"/>
    <col min="6401" max="6401" width="13.375" style="2" customWidth="1"/>
    <col min="6402" max="6402" width="2.125" style="2" customWidth="1"/>
    <col min="6403" max="6403" width="18.375" style="2" customWidth="1"/>
    <col min="6404" max="6407" width="13.375" style="2" customWidth="1"/>
    <col min="6408" max="6409" width="10.875" style="2" customWidth="1"/>
    <col min="6410" max="6410" width="13.375" style="2" customWidth="1"/>
    <col min="6411" max="6656" width="12.125" style="2"/>
    <col min="6657" max="6657" width="13.375" style="2" customWidth="1"/>
    <col min="6658" max="6658" width="2.125" style="2" customWidth="1"/>
    <col min="6659" max="6659" width="18.375" style="2" customWidth="1"/>
    <col min="6660" max="6663" width="13.375" style="2" customWidth="1"/>
    <col min="6664" max="6665" width="10.875" style="2" customWidth="1"/>
    <col min="6666" max="6666" width="13.375" style="2" customWidth="1"/>
    <col min="6667" max="6912" width="12.125" style="2"/>
    <col min="6913" max="6913" width="13.375" style="2" customWidth="1"/>
    <col min="6914" max="6914" width="2.125" style="2" customWidth="1"/>
    <col min="6915" max="6915" width="18.375" style="2" customWidth="1"/>
    <col min="6916" max="6919" width="13.375" style="2" customWidth="1"/>
    <col min="6920" max="6921" width="10.875" style="2" customWidth="1"/>
    <col min="6922" max="6922" width="13.375" style="2" customWidth="1"/>
    <col min="6923" max="7168" width="12.125" style="2"/>
    <col min="7169" max="7169" width="13.375" style="2" customWidth="1"/>
    <col min="7170" max="7170" width="2.125" style="2" customWidth="1"/>
    <col min="7171" max="7171" width="18.375" style="2" customWidth="1"/>
    <col min="7172" max="7175" width="13.375" style="2" customWidth="1"/>
    <col min="7176" max="7177" width="10.875" style="2" customWidth="1"/>
    <col min="7178" max="7178" width="13.375" style="2" customWidth="1"/>
    <col min="7179" max="7424" width="12.125" style="2"/>
    <col min="7425" max="7425" width="13.375" style="2" customWidth="1"/>
    <col min="7426" max="7426" width="2.125" style="2" customWidth="1"/>
    <col min="7427" max="7427" width="18.375" style="2" customWidth="1"/>
    <col min="7428" max="7431" width="13.375" style="2" customWidth="1"/>
    <col min="7432" max="7433" width="10.875" style="2" customWidth="1"/>
    <col min="7434" max="7434" width="13.375" style="2" customWidth="1"/>
    <col min="7435" max="7680" width="12.125" style="2"/>
    <col min="7681" max="7681" width="13.375" style="2" customWidth="1"/>
    <col min="7682" max="7682" width="2.125" style="2" customWidth="1"/>
    <col min="7683" max="7683" width="18.375" style="2" customWidth="1"/>
    <col min="7684" max="7687" width="13.375" style="2" customWidth="1"/>
    <col min="7688" max="7689" width="10.875" style="2" customWidth="1"/>
    <col min="7690" max="7690" width="13.375" style="2" customWidth="1"/>
    <col min="7691" max="7936" width="12.125" style="2"/>
    <col min="7937" max="7937" width="13.375" style="2" customWidth="1"/>
    <col min="7938" max="7938" width="2.125" style="2" customWidth="1"/>
    <col min="7939" max="7939" width="18.375" style="2" customWidth="1"/>
    <col min="7940" max="7943" width="13.375" style="2" customWidth="1"/>
    <col min="7944" max="7945" width="10.875" style="2" customWidth="1"/>
    <col min="7946" max="7946" width="13.375" style="2" customWidth="1"/>
    <col min="7947" max="8192" width="12.125" style="2"/>
    <col min="8193" max="8193" width="13.375" style="2" customWidth="1"/>
    <col min="8194" max="8194" width="2.125" style="2" customWidth="1"/>
    <col min="8195" max="8195" width="18.375" style="2" customWidth="1"/>
    <col min="8196" max="8199" width="13.375" style="2" customWidth="1"/>
    <col min="8200" max="8201" width="10.875" style="2" customWidth="1"/>
    <col min="8202" max="8202" width="13.375" style="2" customWidth="1"/>
    <col min="8203" max="8448" width="12.125" style="2"/>
    <col min="8449" max="8449" width="13.375" style="2" customWidth="1"/>
    <col min="8450" max="8450" width="2.125" style="2" customWidth="1"/>
    <col min="8451" max="8451" width="18.375" style="2" customWidth="1"/>
    <col min="8452" max="8455" width="13.375" style="2" customWidth="1"/>
    <col min="8456" max="8457" width="10.875" style="2" customWidth="1"/>
    <col min="8458" max="8458" width="13.375" style="2" customWidth="1"/>
    <col min="8459" max="8704" width="12.125" style="2"/>
    <col min="8705" max="8705" width="13.375" style="2" customWidth="1"/>
    <col min="8706" max="8706" width="2.125" style="2" customWidth="1"/>
    <col min="8707" max="8707" width="18.375" style="2" customWidth="1"/>
    <col min="8708" max="8711" width="13.375" style="2" customWidth="1"/>
    <col min="8712" max="8713" width="10.875" style="2" customWidth="1"/>
    <col min="8714" max="8714" width="13.375" style="2" customWidth="1"/>
    <col min="8715" max="8960" width="12.125" style="2"/>
    <col min="8961" max="8961" width="13.375" style="2" customWidth="1"/>
    <col min="8962" max="8962" width="2.125" style="2" customWidth="1"/>
    <col min="8963" max="8963" width="18.375" style="2" customWidth="1"/>
    <col min="8964" max="8967" width="13.375" style="2" customWidth="1"/>
    <col min="8968" max="8969" width="10.875" style="2" customWidth="1"/>
    <col min="8970" max="8970" width="13.375" style="2" customWidth="1"/>
    <col min="8971" max="9216" width="12.125" style="2"/>
    <col min="9217" max="9217" width="13.375" style="2" customWidth="1"/>
    <col min="9218" max="9218" width="2.125" style="2" customWidth="1"/>
    <col min="9219" max="9219" width="18.375" style="2" customWidth="1"/>
    <col min="9220" max="9223" width="13.375" style="2" customWidth="1"/>
    <col min="9224" max="9225" width="10.875" style="2" customWidth="1"/>
    <col min="9226" max="9226" width="13.375" style="2" customWidth="1"/>
    <col min="9227" max="9472" width="12.125" style="2"/>
    <col min="9473" max="9473" width="13.375" style="2" customWidth="1"/>
    <col min="9474" max="9474" width="2.125" style="2" customWidth="1"/>
    <col min="9475" max="9475" width="18.375" style="2" customWidth="1"/>
    <col min="9476" max="9479" width="13.375" style="2" customWidth="1"/>
    <col min="9480" max="9481" width="10.875" style="2" customWidth="1"/>
    <col min="9482" max="9482" width="13.375" style="2" customWidth="1"/>
    <col min="9483" max="9728" width="12.125" style="2"/>
    <col min="9729" max="9729" width="13.375" style="2" customWidth="1"/>
    <col min="9730" max="9730" width="2.125" style="2" customWidth="1"/>
    <col min="9731" max="9731" width="18.375" style="2" customWidth="1"/>
    <col min="9732" max="9735" width="13.375" style="2" customWidth="1"/>
    <col min="9736" max="9737" width="10.875" style="2" customWidth="1"/>
    <col min="9738" max="9738" width="13.375" style="2" customWidth="1"/>
    <col min="9739" max="9984" width="12.125" style="2"/>
    <col min="9985" max="9985" width="13.375" style="2" customWidth="1"/>
    <col min="9986" max="9986" width="2.125" style="2" customWidth="1"/>
    <col min="9987" max="9987" width="18.375" style="2" customWidth="1"/>
    <col min="9988" max="9991" width="13.375" style="2" customWidth="1"/>
    <col min="9992" max="9993" width="10.875" style="2" customWidth="1"/>
    <col min="9994" max="9994" width="13.375" style="2" customWidth="1"/>
    <col min="9995" max="10240" width="12.125" style="2"/>
    <col min="10241" max="10241" width="13.375" style="2" customWidth="1"/>
    <col min="10242" max="10242" width="2.125" style="2" customWidth="1"/>
    <col min="10243" max="10243" width="18.375" style="2" customWidth="1"/>
    <col min="10244" max="10247" width="13.375" style="2" customWidth="1"/>
    <col min="10248" max="10249" width="10.875" style="2" customWidth="1"/>
    <col min="10250" max="10250" width="13.375" style="2" customWidth="1"/>
    <col min="10251" max="10496" width="12.125" style="2"/>
    <col min="10497" max="10497" width="13.375" style="2" customWidth="1"/>
    <col min="10498" max="10498" width="2.125" style="2" customWidth="1"/>
    <col min="10499" max="10499" width="18.375" style="2" customWidth="1"/>
    <col min="10500" max="10503" width="13.375" style="2" customWidth="1"/>
    <col min="10504" max="10505" width="10.875" style="2" customWidth="1"/>
    <col min="10506" max="10506" width="13.375" style="2" customWidth="1"/>
    <col min="10507" max="10752" width="12.125" style="2"/>
    <col min="10753" max="10753" width="13.375" style="2" customWidth="1"/>
    <col min="10754" max="10754" width="2.125" style="2" customWidth="1"/>
    <col min="10755" max="10755" width="18.375" style="2" customWidth="1"/>
    <col min="10756" max="10759" width="13.375" style="2" customWidth="1"/>
    <col min="10760" max="10761" width="10.875" style="2" customWidth="1"/>
    <col min="10762" max="10762" width="13.375" style="2" customWidth="1"/>
    <col min="10763" max="11008" width="12.125" style="2"/>
    <col min="11009" max="11009" width="13.375" style="2" customWidth="1"/>
    <col min="11010" max="11010" width="2.125" style="2" customWidth="1"/>
    <col min="11011" max="11011" width="18.375" style="2" customWidth="1"/>
    <col min="11012" max="11015" width="13.375" style="2" customWidth="1"/>
    <col min="11016" max="11017" width="10.875" style="2" customWidth="1"/>
    <col min="11018" max="11018" width="13.375" style="2" customWidth="1"/>
    <col min="11019" max="11264" width="12.125" style="2"/>
    <col min="11265" max="11265" width="13.375" style="2" customWidth="1"/>
    <col min="11266" max="11266" width="2.125" style="2" customWidth="1"/>
    <col min="11267" max="11267" width="18.375" style="2" customWidth="1"/>
    <col min="11268" max="11271" width="13.375" style="2" customWidth="1"/>
    <col min="11272" max="11273" width="10.875" style="2" customWidth="1"/>
    <col min="11274" max="11274" width="13.375" style="2" customWidth="1"/>
    <col min="11275" max="11520" width="12.125" style="2"/>
    <col min="11521" max="11521" width="13.375" style="2" customWidth="1"/>
    <col min="11522" max="11522" width="2.125" style="2" customWidth="1"/>
    <col min="11523" max="11523" width="18.375" style="2" customWidth="1"/>
    <col min="11524" max="11527" width="13.375" style="2" customWidth="1"/>
    <col min="11528" max="11529" width="10.875" style="2" customWidth="1"/>
    <col min="11530" max="11530" width="13.375" style="2" customWidth="1"/>
    <col min="11531" max="11776" width="12.125" style="2"/>
    <col min="11777" max="11777" width="13.375" style="2" customWidth="1"/>
    <col min="11778" max="11778" width="2.125" style="2" customWidth="1"/>
    <col min="11779" max="11779" width="18.375" style="2" customWidth="1"/>
    <col min="11780" max="11783" width="13.375" style="2" customWidth="1"/>
    <col min="11784" max="11785" width="10.875" style="2" customWidth="1"/>
    <col min="11786" max="11786" width="13.375" style="2" customWidth="1"/>
    <col min="11787" max="12032" width="12.125" style="2"/>
    <col min="12033" max="12033" width="13.375" style="2" customWidth="1"/>
    <col min="12034" max="12034" width="2.125" style="2" customWidth="1"/>
    <col min="12035" max="12035" width="18.375" style="2" customWidth="1"/>
    <col min="12036" max="12039" width="13.375" style="2" customWidth="1"/>
    <col min="12040" max="12041" width="10.875" style="2" customWidth="1"/>
    <col min="12042" max="12042" width="13.375" style="2" customWidth="1"/>
    <col min="12043" max="12288" width="12.125" style="2"/>
    <col min="12289" max="12289" width="13.375" style="2" customWidth="1"/>
    <col min="12290" max="12290" width="2.125" style="2" customWidth="1"/>
    <col min="12291" max="12291" width="18.375" style="2" customWidth="1"/>
    <col min="12292" max="12295" width="13.375" style="2" customWidth="1"/>
    <col min="12296" max="12297" width="10.875" style="2" customWidth="1"/>
    <col min="12298" max="12298" width="13.375" style="2" customWidth="1"/>
    <col min="12299" max="12544" width="12.125" style="2"/>
    <col min="12545" max="12545" width="13.375" style="2" customWidth="1"/>
    <col min="12546" max="12546" width="2.125" style="2" customWidth="1"/>
    <col min="12547" max="12547" width="18.375" style="2" customWidth="1"/>
    <col min="12548" max="12551" width="13.375" style="2" customWidth="1"/>
    <col min="12552" max="12553" width="10.875" style="2" customWidth="1"/>
    <col min="12554" max="12554" width="13.375" style="2" customWidth="1"/>
    <col min="12555" max="12800" width="12.125" style="2"/>
    <col min="12801" max="12801" width="13.375" style="2" customWidth="1"/>
    <col min="12802" max="12802" width="2.125" style="2" customWidth="1"/>
    <col min="12803" max="12803" width="18.375" style="2" customWidth="1"/>
    <col min="12804" max="12807" width="13.375" style="2" customWidth="1"/>
    <col min="12808" max="12809" width="10.875" style="2" customWidth="1"/>
    <col min="12810" max="12810" width="13.375" style="2" customWidth="1"/>
    <col min="12811" max="13056" width="12.125" style="2"/>
    <col min="13057" max="13057" width="13.375" style="2" customWidth="1"/>
    <col min="13058" max="13058" width="2.125" style="2" customWidth="1"/>
    <col min="13059" max="13059" width="18.375" style="2" customWidth="1"/>
    <col min="13060" max="13063" width="13.375" style="2" customWidth="1"/>
    <col min="13064" max="13065" width="10.875" style="2" customWidth="1"/>
    <col min="13066" max="13066" width="13.375" style="2" customWidth="1"/>
    <col min="13067" max="13312" width="12.125" style="2"/>
    <col min="13313" max="13313" width="13.375" style="2" customWidth="1"/>
    <col min="13314" max="13314" width="2.125" style="2" customWidth="1"/>
    <col min="13315" max="13315" width="18.375" style="2" customWidth="1"/>
    <col min="13316" max="13319" width="13.375" style="2" customWidth="1"/>
    <col min="13320" max="13321" width="10.875" style="2" customWidth="1"/>
    <col min="13322" max="13322" width="13.375" style="2" customWidth="1"/>
    <col min="13323" max="13568" width="12.125" style="2"/>
    <col min="13569" max="13569" width="13.375" style="2" customWidth="1"/>
    <col min="13570" max="13570" width="2.125" style="2" customWidth="1"/>
    <col min="13571" max="13571" width="18.375" style="2" customWidth="1"/>
    <col min="13572" max="13575" width="13.375" style="2" customWidth="1"/>
    <col min="13576" max="13577" width="10.875" style="2" customWidth="1"/>
    <col min="13578" max="13578" width="13.375" style="2" customWidth="1"/>
    <col min="13579" max="13824" width="12.125" style="2"/>
    <col min="13825" max="13825" width="13.375" style="2" customWidth="1"/>
    <col min="13826" max="13826" width="2.125" style="2" customWidth="1"/>
    <col min="13827" max="13827" width="18.375" style="2" customWidth="1"/>
    <col min="13828" max="13831" width="13.375" style="2" customWidth="1"/>
    <col min="13832" max="13833" width="10.875" style="2" customWidth="1"/>
    <col min="13834" max="13834" width="13.375" style="2" customWidth="1"/>
    <col min="13835" max="14080" width="12.125" style="2"/>
    <col min="14081" max="14081" width="13.375" style="2" customWidth="1"/>
    <col min="14082" max="14082" width="2.125" style="2" customWidth="1"/>
    <col min="14083" max="14083" width="18.375" style="2" customWidth="1"/>
    <col min="14084" max="14087" width="13.375" style="2" customWidth="1"/>
    <col min="14088" max="14089" width="10.875" style="2" customWidth="1"/>
    <col min="14090" max="14090" width="13.375" style="2" customWidth="1"/>
    <col min="14091" max="14336" width="12.125" style="2"/>
    <col min="14337" max="14337" width="13.375" style="2" customWidth="1"/>
    <col min="14338" max="14338" width="2.125" style="2" customWidth="1"/>
    <col min="14339" max="14339" width="18.375" style="2" customWidth="1"/>
    <col min="14340" max="14343" width="13.375" style="2" customWidth="1"/>
    <col min="14344" max="14345" width="10.875" style="2" customWidth="1"/>
    <col min="14346" max="14346" width="13.375" style="2" customWidth="1"/>
    <col min="14347" max="14592" width="12.125" style="2"/>
    <col min="14593" max="14593" width="13.375" style="2" customWidth="1"/>
    <col min="14594" max="14594" width="2.125" style="2" customWidth="1"/>
    <col min="14595" max="14595" width="18.375" style="2" customWidth="1"/>
    <col min="14596" max="14599" width="13.375" style="2" customWidth="1"/>
    <col min="14600" max="14601" width="10.875" style="2" customWidth="1"/>
    <col min="14602" max="14602" width="13.375" style="2" customWidth="1"/>
    <col min="14603" max="14848" width="12.125" style="2"/>
    <col min="14849" max="14849" width="13.375" style="2" customWidth="1"/>
    <col min="14850" max="14850" width="2.125" style="2" customWidth="1"/>
    <col min="14851" max="14851" width="18.375" style="2" customWidth="1"/>
    <col min="14852" max="14855" width="13.375" style="2" customWidth="1"/>
    <col min="14856" max="14857" width="10.875" style="2" customWidth="1"/>
    <col min="14858" max="14858" width="13.375" style="2" customWidth="1"/>
    <col min="14859" max="15104" width="12.125" style="2"/>
    <col min="15105" max="15105" width="13.375" style="2" customWidth="1"/>
    <col min="15106" max="15106" width="2.125" style="2" customWidth="1"/>
    <col min="15107" max="15107" width="18.375" style="2" customWidth="1"/>
    <col min="15108" max="15111" width="13.375" style="2" customWidth="1"/>
    <col min="15112" max="15113" width="10.875" style="2" customWidth="1"/>
    <col min="15114" max="15114" width="13.375" style="2" customWidth="1"/>
    <col min="15115" max="15360" width="12.125" style="2"/>
    <col min="15361" max="15361" width="13.375" style="2" customWidth="1"/>
    <col min="15362" max="15362" width="2.125" style="2" customWidth="1"/>
    <col min="15363" max="15363" width="18.375" style="2" customWidth="1"/>
    <col min="15364" max="15367" width="13.375" style="2" customWidth="1"/>
    <col min="15368" max="15369" width="10.875" style="2" customWidth="1"/>
    <col min="15370" max="15370" width="13.375" style="2" customWidth="1"/>
    <col min="15371" max="15616" width="12.125" style="2"/>
    <col min="15617" max="15617" width="13.375" style="2" customWidth="1"/>
    <col min="15618" max="15618" width="2.125" style="2" customWidth="1"/>
    <col min="15619" max="15619" width="18.375" style="2" customWidth="1"/>
    <col min="15620" max="15623" width="13.375" style="2" customWidth="1"/>
    <col min="15624" max="15625" width="10.875" style="2" customWidth="1"/>
    <col min="15626" max="15626" width="13.375" style="2" customWidth="1"/>
    <col min="15627" max="15872" width="12.125" style="2"/>
    <col min="15873" max="15873" width="13.375" style="2" customWidth="1"/>
    <col min="15874" max="15874" width="2.125" style="2" customWidth="1"/>
    <col min="15875" max="15875" width="18.375" style="2" customWidth="1"/>
    <col min="15876" max="15879" width="13.375" style="2" customWidth="1"/>
    <col min="15880" max="15881" width="10.875" style="2" customWidth="1"/>
    <col min="15882" max="15882" width="13.375" style="2" customWidth="1"/>
    <col min="15883" max="16128" width="12.125" style="2"/>
    <col min="16129" max="16129" width="13.375" style="2" customWidth="1"/>
    <col min="16130" max="16130" width="2.125" style="2" customWidth="1"/>
    <col min="16131" max="16131" width="18.375" style="2" customWidth="1"/>
    <col min="16132" max="16135" width="13.375" style="2" customWidth="1"/>
    <col min="16136" max="16137" width="10.875" style="2" customWidth="1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F6" s="4" t="s">
        <v>314</v>
      </c>
    </row>
    <row r="7" spans="1:12" ht="18" thickBot="1" x14ac:dyDescent="0.25">
      <c r="B7" s="6"/>
      <c r="C7" s="6"/>
      <c r="D7" s="45" t="s">
        <v>342</v>
      </c>
      <c r="E7" s="6"/>
      <c r="F7" s="6"/>
      <c r="G7" s="6"/>
      <c r="H7" s="6"/>
      <c r="I7" s="6"/>
      <c r="J7" s="6"/>
      <c r="K7" s="7" t="s">
        <v>343</v>
      </c>
      <c r="L7" s="6"/>
    </row>
    <row r="8" spans="1:12" x14ac:dyDescent="0.2">
      <c r="D8" s="10"/>
      <c r="E8" s="12"/>
      <c r="F8" s="12"/>
      <c r="G8" s="12"/>
      <c r="H8" s="12"/>
      <c r="I8" s="12"/>
      <c r="J8" s="10"/>
      <c r="K8" s="3"/>
    </row>
    <row r="9" spans="1:12" x14ac:dyDescent="0.2">
      <c r="D9" s="16" t="s">
        <v>344</v>
      </c>
      <c r="E9" s="10"/>
      <c r="F9" s="31" t="s">
        <v>345</v>
      </c>
      <c r="G9" s="12"/>
      <c r="H9" s="12"/>
      <c r="I9" s="10"/>
      <c r="J9" s="16" t="s">
        <v>346</v>
      </c>
      <c r="K9" s="31" t="s">
        <v>347</v>
      </c>
      <c r="L9" s="12"/>
    </row>
    <row r="10" spans="1:12" x14ac:dyDescent="0.2">
      <c r="D10" s="16" t="s">
        <v>348</v>
      </c>
      <c r="E10" s="16" t="s">
        <v>349</v>
      </c>
      <c r="F10" s="13" t="s">
        <v>350</v>
      </c>
      <c r="G10" s="10"/>
      <c r="H10" s="10"/>
      <c r="I10" s="16" t="s">
        <v>351</v>
      </c>
      <c r="J10" s="16" t="s">
        <v>349</v>
      </c>
      <c r="K10" s="10"/>
      <c r="L10" s="16" t="s">
        <v>352</v>
      </c>
    </row>
    <row r="11" spans="1:12" x14ac:dyDescent="0.2">
      <c r="B11" s="12"/>
      <c r="C11" s="12"/>
      <c r="D11" s="14"/>
      <c r="E11" s="17" t="s">
        <v>353</v>
      </c>
      <c r="F11" s="17" t="s">
        <v>354</v>
      </c>
      <c r="G11" s="17" t="s">
        <v>355</v>
      </c>
      <c r="H11" s="17" t="s">
        <v>356</v>
      </c>
      <c r="I11" s="14"/>
      <c r="J11" s="17" t="s">
        <v>353</v>
      </c>
      <c r="K11" s="17" t="s">
        <v>357</v>
      </c>
      <c r="L11" s="17" t="s">
        <v>358</v>
      </c>
    </row>
    <row r="12" spans="1:12" x14ac:dyDescent="0.2">
      <c r="D12" s="10"/>
    </row>
    <row r="13" spans="1:12" x14ac:dyDescent="0.2">
      <c r="B13" s="1" t="s">
        <v>359</v>
      </c>
      <c r="D13" s="18">
        <f>E13+I13</f>
        <v>506076</v>
      </c>
      <c r="E13" s="43">
        <f>F13+G13+H13</f>
        <v>493123</v>
      </c>
      <c r="F13" s="5">
        <v>406782</v>
      </c>
      <c r="G13" s="5">
        <v>2895</v>
      </c>
      <c r="H13" s="5">
        <v>83446</v>
      </c>
      <c r="I13" s="5">
        <v>12953</v>
      </c>
      <c r="J13" s="43">
        <f t="shared" ref="J13:J18" si="0">E13</f>
        <v>493123</v>
      </c>
      <c r="K13" s="19" t="s">
        <v>139</v>
      </c>
      <c r="L13" s="19" t="s">
        <v>139</v>
      </c>
    </row>
    <row r="14" spans="1:12" x14ac:dyDescent="0.2">
      <c r="B14" s="1" t="s">
        <v>183</v>
      </c>
      <c r="D14" s="18">
        <f>E14+I14</f>
        <v>514750</v>
      </c>
      <c r="E14" s="43">
        <f>F14+G14+H14</f>
        <v>502579</v>
      </c>
      <c r="F14" s="5">
        <v>417075</v>
      </c>
      <c r="G14" s="5">
        <v>2359</v>
      </c>
      <c r="H14" s="5">
        <v>83145</v>
      </c>
      <c r="I14" s="5">
        <v>12171</v>
      </c>
      <c r="J14" s="43">
        <f t="shared" si="0"/>
        <v>502579</v>
      </c>
      <c r="K14" s="19" t="s">
        <v>139</v>
      </c>
      <c r="L14" s="19" t="s">
        <v>139</v>
      </c>
    </row>
    <row r="15" spans="1:12" x14ac:dyDescent="0.2">
      <c r="B15" s="1" t="s">
        <v>184</v>
      </c>
      <c r="D15" s="18">
        <f>E15+I15</f>
        <v>510435</v>
      </c>
      <c r="E15" s="43">
        <f>F15+G15+H15</f>
        <v>498761</v>
      </c>
      <c r="F15" s="5">
        <v>416497</v>
      </c>
      <c r="G15" s="5">
        <v>2727</v>
      </c>
      <c r="H15" s="5">
        <v>79537</v>
      </c>
      <c r="I15" s="5">
        <v>11674</v>
      </c>
      <c r="J15" s="43">
        <f t="shared" si="0"/>
        <v>498761</v>
      </c>
      <c r="K15" s="5">
        <v>354394</v>
      </c>
      <c r="L15" s="43">
        <f>J15-K15</f>
        <v>144367</v>
      </c>
    </row>
    <row r="16" spans="1:12" x14ac:dyDescent="0.2">
      <c r="B16" s="1" t="s">
        <v>185</v>
      </c>
      <c r="D16" s="18">
        <f>E16+I16</f>
        <v>523624</v>
      </c>
      <c r="E16" s="43">
        <f>F16+G16+H16</f>
        <v>515173</v>
      </c>
      <c r="F16" s="5">
        <v>468613</v>
      </c>
      <c r="G16" s="5">
        <v>2523</v>
      </c>
      <c r="H16" s="5">
        <v>44037</v>
      </c>
      <c r="I16" s="5">
        <v>8451</v>
      </c>
      <c r="J16" s="43">
        <f t="shared" si="0"/>
        <v>515173</v>
      </c>
      <c r="K16" s="5">
        <v>359705</v>
      </c>
      <c r="L16" s="43">
        <f>J16-K16</f>
        <v>155468</v>
      </c>
    </row>
    <row r="17" spans="2:12" x14ac:dyDescent="0.2">
      <c r="B17" s="1" t="s">
        <v>310</v>
      </c>
      <c r="D17" s="18">
        <f>E17+I17</f>
        <v>528000</v>
      </c>
      <c r="E17" s="43">
        <f>F17+G17+H17</f>
        <v>520155</v>
      </c>
      <c r="F17" s="5">
        <v>472950</v>
      </c>
      <c r="G17" s="5">
        <v>2694</v>
      </c>
      <c r="H17" s="5">
        <v>44511</v>
      </c>
      <c r="I17" s="5">
        <v>7845</v>
      </c>
      <c r="J17" s="43">
        <f t="shared" si="0"/>
        <v>520155</v>
      </c>
      <c r="K17" s="5">
        <v>356880</v>
      </c>
      <c r="L17" s="43">
        <f>J17-K17</f>
        <v>163275</v>
      </c>
    </row>
    <row r="18" spans="2:12" x14ac:dyDescent="0.2">
      <c r="B18" s="4" t="s">
        <v>311</v>
      </c>
      <c r="C18" s="21"/>
      <c r="D18" s="20">
        <f t="shared" ref="D18:I18" si="1">SUM(D20:D70)</f>
        <v>540249</v>
      </c>
      <c r="E18" s="21">
        <f t="shared" si="1"/>
        <v>533640</v>
      </c>
      <c r="F18" s="21">
        <f t="shared" si="1"/>
        <v>486055</v>
      </c>
      <c r="G18" s="21">
        <f t="shared" si="1"/>
        <v>2846</v>
      </c>
      <c r="H18" s="21">
        <f t="shared" si="1"/>
        <v>44739</v>
      </c>
      <c r="I18" s="21">
        <f t="shared" si="1"/>
        <v>6609</v>
      </c>
      <c r="J18" s="21">
        <f t="shared" si="0"/>
        <v>533640</v>
      </c>
      <c r="K18" s="21">
        <f>SUM(K20:K70)</f>
        <v>363354</v>
      </c>
      <c r="L18" s="21">
        <f>J18-K18</f>
        <v>170286</v>
      </c>
    </row>
    <row r="19" spans="2:12" x14ac:dyDescent="0.2">
      <c r="D19" s="10"/>
    </row>
    <row r="20" spans="2:12" x14ac:dyDescent="0.2">
      <c r="C20" s="1" t="s">
        <v>239</v>
      </c>
      <c r="D20" s="18">
        <f t="shared" ref="D20:D26" si="2">E20+I20</f>
        <v>182010</v>
      </c>
      <c r="E20" s="43">
        <f t="shared" ref="E20:E26" si="3">F20+G20+H20</f>
        <v>180675</v>
      </c>
      <c r="F20" s="5">
        <v>180675</v>
      </c>
      <c r="G20" s="19" t="s">
        <v>360</v>
      </c>
      <c r="H20" s="19" t="s">
        <v>360</v>
      </c>
      <c r="I20" s="5">
        <v>1335</v>
      </c>
      <c r="J20" s="43">
        <f t="shared" ref="J20:J26" si="4">E20</f>
        <v>180675</v>
      </c>
      <c r="K20" s="5">
        <v>126472</v>
      </c>
      <c r="L20" s="43">
        <f t="shared" ref="L20:L26" si="5">J20-K20</f>
        <v>54203</v>
      </c>
    </row>
    <row r="21" spans="2:12" x14ac:dyDescent="0.2">
      <c r="C21" s="1" t="s">
        <v>240</v>
      </c>
      <c r="D21" s="18">
        <f t="shared" si="2"/>
        <v>30256</v>
      </c>
      <c r="E21" s="43">
        <f t="shared" si="3"/>
        <v>30256</v>
      </c>
      <c r="F21" s="19" t="s">
        <v>52</v>
      </c>
      <c r="G21" s="19" t="s">
        <v>52</v>
      </c>
      <c r="H21" s="5">
        <v>30256</v>
      </c>
      <c r="I21" s="19" t="s">
        <v>52</v>
      </c>
      <c r="J21" s="43">
        <f t="shared" si="4"/>
        <v>30256</v>
      </c>
      <c r="K21" s="5">
        <v>26293</v>
      </c>
      <c r="L21" s="43">
        <f t="shared" si="5"/>
        <v>3963</v>
      </c>
    </row>
    <row r="22" spans="2:12" x14ac:dyDescent="0.2">
      <c r="C22" s="1" t="s">
        <v>241</v>
      </c>
      <c r="D22" s="18">
        <f t="shared" si="2"/>
        <v>17976</v>
      </c>
      <c r="E22" s="43">
        <f t="shared" si="3"/>
        <v>17945</v>
      </c>
      <c r="F22" s="5">
        <v>17945</v>
      </c>
      <c r="G22" s="19" t="s">
        <v>52</v>
      </c>
      <c r="H22" s="19" t="s">
        <v>52</v>
      </c>
      <c r="I22" s="5">
        <v>31</v>
      </c>
      <c r="J22" s="43">
        <f t="shared" si="4"/>
        <v>17945</v>
      </c>
      <c r="K22" s="5">
        <v>10637</v>
      </c>
      <c r="L22" s="43">
        <f t="shared" si="5"/>
        <v>7308</v>
      </c>
    </row>
    <row r="23" spans="2:12" x14ac:dyDescent="0.2">
      <c r="C23" s="1" t="s">
        <v>242</v>
      </c>
      <c r="D23" s="18">
        <f t="shared" si="2"/>
        <v>17635</v>
      </c>
      <c r="E23" s="43">
        <f t="shared" si="3"/>
        <v>17340</v>
      </c>
      <c r="F23" s="5">
        <v>17340</v>
      </c>
      <c r="G23" s="19" t="s">
        <v>52</v>
      </c>
      <c r="H23" s="19" t="s">
        <v>52</v>
      </c>
      <c r="I23" s="5">
        <v>295</v>
      </c>
      <c r="J23" s="43">
        <f t="shared" si="4"/>
        <v>17340</v>
      </c>
      <c r="K23" s="5">
        <v>12810</v>
      </c>
      <c r="L23" s="43">
        <f t="shared" si="5"/>
        <v>4530</v>
      </c>
    </row>
    <row r="24" spans="2:12" x14ac:dyDescent="0.2">
      <c r="C24" s="1" t="s">
        <v>243</v>
      </c>
      <c r="D24" s="18">
        <f t="shared" si="2"/>
        <v>19064</v>
      </c>
      <c r="E24" s="43">
        <f t="shared" si="3"/>
        <v>18204</v>
      </c>
      <c r="F24" s="5">
        <v>18204</v>
      </c>
      <c r="G24" s="19" t="s">
        <v>52</v>
      </c>
      <c r="H24" s="19" t="s">
        <v>52</v>
      </c>
      <c r="I24" s="5">
        <v>860</v>
      </c>
      <c r="J24" s="43">
        <f t="shared" si="4"/>
        <v>18204</v>
      </c>
      <c r="K24" s="5">
        <v>10800</v>
      </c>
      <c r="L24" s="43">
        <f t="shared" si="5"/>
        <v>7404</v>
      </c>
    </row>
    <row r="25" spans="2:12" x14ac:dyDescent="0.2">
      <c r="C25" s="1" t="s">
        <v>244</v>
      </c>
      <c r="D25" s="18">
        <f t="shared" si="2"/>
        <v>28237</v>
      </c>
      <c r="E25" s="43">
        <f t="shared" si="3"/>
        <v>28177</v>
      </c>
      <c r="F25" s="5">
        <v>28177</v>
      </c>
      <c r="G25" s="19" t="s">
        <v>52</v>
      </c>
      <c r="H25" s="19" t="s">
        <v>52</v>
      </c>
      <c r="I25" s="5">
        <v>60</v>
      </c>
      <c r="J25" s="43">
        <f t="shared" si="4"/>
        <v>28177</v>
      </c>
      <c r="K25" s="5">
        <v>16055</v>
      </c>
      <c r="L25" s="43">
        <f t="shared" si="5"/>
        <v>12122</v>
      </c>
    </row>
    <row r="26" spans="2:12" x14ac:dyDescent="0.2">
      <c r="C26" s="1" t="s">
        <v>245</v>
      </c>
      <c r="D26" s="18">
        <f t="shared" si="2"/>
        <v>18094</v>
      </c>
      <c r="E26" s="43">
        <f t="shared" si="3"/>
        <v>18082</v>
      </c>
      <c r="F26" s="5">
        <v>18082</v>
      </c>
      <c r="G26" s="19" t="s">
        <v>52</v>
      </c>
      <c r="H26" s="19" t="s">
        <v>52</v>
      </c>
      <c r="I26" s="5">
        <v>12</v>
      </c>
      <c r="J26" s="43">
        <f t="shared" si="4"/>
        <v>18082</v>
      </c>
      <c r="K26" s="5">
        <v>7076</v>
      </c>
      <c r="L26" s="43">
        <f t="shared" si="5"/>
        <v>11006</v>
      </c>
    </row>
    <row r="27" spans="2:12" x14ac:dyDescent="0.2">
      <c r="D27" s="10"/>
    </row>
    <row r="28" spans="2:12" x14ac:dyDescent="0.2">
      <c r="C28" s="1" t="s">
        <v>246</v>
      </c>
      <c r="D28" s="18">
        <f t="shared" ref="D28:D70" si="6">E28+I28</f>
        <v>7243</v>
      </c>
      <c r="E28" s="43">
        <f t="shared" ref="E28:E70" si="7">F28+G28+H28</f>
        <v>7200</v>
      </c>
      <c r="F28" s="19" t="s">
        <v>52</v>
      </c>
      <c r="G28" s="19" t="s">
        <v>52</v>
      </c>
      <c r="H28" s="5">
        <v>7200</v>
      </c>
      <c r="I28" s="5">
        <v>43</v>
      </c>
      <c r="J28" s="43">
        <f t="shared" ref="J28:J70" si="8">E28</f>
        <v>7200</v>
      </c>
      <c r="K28" s="5">
        <v>4100</v>
      </c>
      <c r="L28" s="43">
        <f t="shared" ref="L28:L70" si="9">J28-K28</f>
        <v>3100</v>
      </c>
    </row>
    <row r="29" spans="2:12" x14ac:dyDescent="0.2">
      <c r="C29" s="1" t="s">
        <v>247</v>
      </c>
      <c r="D29" s="18">
        <f t="shared" si="6"/>
        <v>5543</v>
      </c>
      <c r="E29" s="43">
        <f t="shared" si="7"/>
        <v>5368</v>
      </c>
      <c r="F29" s="19" t="s">
        <v>361</v>
      </c>
      <c r="G29" s="19" t="s">
        <v>361</v>
      </c>
      <c r="H29" s="5">
        <v>5368</v>
      </c>
      <c r="I29" s="5">
        <v>175</v>
      </c>
      <c r="J29" s="43">
        <f t="shared" si="8"/>
        <v>5368</v>
      </c>
      <c r="K29" s="5">
        <v>3961</v>
      </c>
      <c r="L29" s="43">
        <f t="shared" si="9"/>
        <v>1407</v>
      </c>
    </row>
    <row r="30" spans="2:12" x14ac:dyDescent="0.2">
      <c r="C30" s="1" t="s">
        <v>248</v>
      </c>
      <c r="D30" s="18">
        <f t="shared" si="6"/>
        <v>1976</v>
      </c>
      <c r="E30" s="43">
        <f t="shared" si="7"/>
        <v>1915</v>
      </c>
      <c r="F30" s="19" t="s">
        <v>361</v>
      </c>
      <c r="G30" s="19" t="s">
        <v>361</v>
      </c>
      <c r="H30" s="5">
        <v>1915</v>
      </c>
      <c r="I30" s="5">
        <v>61</v>
      </c>
      <c r="J30" s="43">
        <f t="shared" si="8"/>
        <v>1915</v>
      </c>
      <c r="K30" s="5">
        <v>1377</v>
      </c>
      <c r="L30" s="43">
        <f t="shared" si="9"/>
        <v>538</v>
      </c>
    </row>
    <row r="31" spans="2:12" x14ac:dyDescent="0.2">
      <c r="C31" s="1" t="s">
        <v>249</v>
      </c>
      <c r="D31" s="18">
        <f t="shared" si="6"/>
        <v>8796</v>
      </c>
      <c r="E31" s="43">
        <f t="shared" si="7"/>
        <v>8650</v>
      </c>
      <c r="F31" s="5">
        <v>8650</v>
      </c>
      <c r="G31" s="19" t="s">
        <v>361</v>
      </c>
      <c r="H31" s="19" t="s">
        <v>361</v>
      </c>
      <c r="I31" s="5">
        <v>146</v>
      </c>
      <c r="J31" s="43">
        <f t="shared" si="8"/>
        <v>8650</v>
      </c>
      <c r="K31" s="5">
        <v>7041</v>
      </c>
      <c r="L31" s="43">
        <f t="shared" si="9"/>
        <v>1609</v>
      </c>
    </row>
    <row r="32" spans="2:12" x14ac:dyDescent="0.2">
      <c r="C32" s="1" t="s">
        <v>250</v>
      </c>
      <c r="D32" s="18">
        <f t="shared" si="6"/>
        <v>8083</v>
      </c>
      <c r="E32" s="43">
        <f t="shared" si="7"/>
        <v>7913</v>
      </c>
      <c r="F32" s="5">
        <v>7913</v>
      </c>
      <c r="G32" s="19" t="s">
        <v>361</v>
      </c>
      <c r="H32" s="19" t="s">
        <v>361</v>
      </c>
      <c r="I32" s="5">
        <v>170</v>
      </c>
      <c r="J32" s="43">
        <f t="shared" si="8"/>
        <v>7913</v>
      </c>
      <c r="K32" s="5">
        <v>5686</v>
      </c>
      <c r="L32" s="43">
        <f t="shared" si="9"/>
        <v>2227</v>
      </c>
    </row>
    <row r="33" spans="3:12" x14ac:dyDescent="0.2">
      <c r="C33" s="1" t="s">
        <v>251</v>
      </c>
      <c r="D33" s="18">
        <f t="shared" si="6"/>
        <v>3658</v>
      </c>
      <c r="E33" s="43">
        <f t="shared" si="7"/>
        <v>3568</v>
      </c>
      <c r="F33" s="5">
        <v>3568</v>
      </c>
      <c r="G33" s="19" t="s">
        <v>361</v>
      </c>
      <c r="H33" s="19" t="s">
        <v>361</v>
      </c>
      <c r="I33" s="5">
        <v>90</v>
      </c>
      <c r="J33" s="43">
        <f t="shared" si="8"/>
        <v>3568</v>
      </c>
      <c r="K33" s="5">
        <v>2758</v>
      </c>
      <c r="L33" s="43">
        <f t="shared" si="9"/>
        <v>810</v>
      </c>
    </row>
    <row r="34" spans="3:12" x14ac:dyDescent="0.2">
      <c r="C34" s="1" t="s">
        <v>252</v>
      </c>
      <c r="D34" s="18">
        <f t="shared" si="6"/>
        <v>5152</v>
      </c>
      <c r="E34" s="43">
        <f t="shared" si="7"/>
        <v>5072</v>
      </c>
      <c r="F34" s="5">
        <v>5072</v>
      </c>
      <c r="G34" s="19" t="s">
        <v>361</v>
      </c>
      <c r="H34" s="19" t="s">
        <v>361</v>
      </c>
      <c r="I34" s="5">
        <v>80</v>
      </c>
      <c r="J34" s="43">
        <f t="shared" si="8"/>
        <v>5072</v>
      </c>
      <c r="K34" s="5">
        <v>4159</v>
      </c>
      <c r="L34" s="43">
        <f t="shared" si="9"/>
        <v>913</v>
      </c>
    </row>
    <row r="35" spans="3:12" x14ac:dyDescent="0.2">
      <c r="C35" s="1" t="s">
        <v>253</v>
      </c>
      <c r="D35" s="18">
        <f t="shared" si="6"/>
        <v>12526</v>
      </c>
      <c r="E35" s="43">
        <f t="shared" si="7"/>
        <v>12321</v>
      </c>
      <c r="F35" s="5">
        <v>12321</v>
      </c>
      <c r="G35" s="19" t="s">
        <v>361</v>
      </c>
      <c r="H35" s="19" t="s">
        <v>361</v>
      </c>
      <c r="I35" s="5">
        <v>205</v>
      </c>
      <c r="J35" s="43">
        <f t="shared" si="8"/>
        <v>12321</v>
      </c>
      <c r="K35" s="5">
        <v>9659</v>
      </c>
      <c r="L35" s="43">
        <f t="shared" si="9"/>
        <v>2662</v>
      </c>
    </row>
    <row r="36" spans="3:12" x14ac:dyDescent="0.2">
      <c r="C36" s="1" t="s">
        <v>254</v>
      </c>
      <c r="D36" s="18">
        <f t="shared" si="6"/>
        <v>25458</v>
      </c>
      <c r="E36" s="43">
        <f t="shared" si="7"/>
        <v>25067</v>
      </c>
      <c r="F36" s="5">
        <v>25067</v>
      </c>
      <c r="G36" s="19" t="s">
        <v>361</v>
      </c>
      <c r="H36" s="19" t="s">
        <v>361</v>
      </c>
      <c r="I36" s="5">
        <v>391</v>
      </c>
      <c r="J36" s="43">
        <f t="shared" si="8"/>
        <v>25067</v>
      </c>
      <c r="K36" s="5">
        <v>19621</v>
      </c>
      <c r="L36" s="43">
        <f t="shared" si="9"/>
        <v>5446</v>
      </c>
    </row>
    <row r="37" spans="3:12" x14ac:dyDescent="0.2">
      <c r="C37" s="1" t="s">
        <v>255</v>
      </c>
      <c r="D37" s="18">
        <f t="shared" si="6"/>
        <v>9226</v>
      </c>
      <c r="E37" s="43">
        <f t="shared" si="7"/>
        <v>9185</v>
      </c>
      <c r="F37" s="5">
        <v>9185</v>
      </c>
      <c r="G37" s="19" t="s">
        <v>361</v>
      </c>
      <c r="H37" s="19" t="s">
        <v>361</v>
      </c>
      <c r="I37" s="5">
        <v>41</v>
      </c>
      <c r="J37" s="43">
        <f t="shared" si="8"/>
        <v>9185</v>
      </c>
      <c r="K37" s="5">
        <v>7914</v>
      </c>
      <c r="L37" s="43">
        <f t="shared" si="9"/>
        <v>1271</v>
      </c>
    </row>
    <row r="38" spans="3:12" x14ac:dyDescent="0.2">
      <c r="C38" s="1" t="s">
        <v>256</v>
      </c>
      <c r="D38" s="18">
        <f t="shared" si="6"/>
        <v>8991</v>
      </c>
      <c r="E38" s="43">
        <f t="shared" si="7"/>
        <v>8938</v>
      </c>
      <c r="F38" s="5">
        <v>8938</v>
      </c>
      <c r="G38" s="19" t="s">
        <v>361</v>
      </c>
      <c r="H38" s="19" t="s">
        <v>361</v>
      </c>
      <c r="I38" s="5">
        <v>53</v>
      </c>
      <c r="J38" s="43">
        <f t="shared" si="8"/>
        <v>8938</v>
      </c>
      <c r="K38" s="5">
        <v>4811</v>
      </c>
      <c r="L38" s="43">
        <f t="shared" si="9"/>
        <v>4127</v>
      </c>
    </row>
    <row r="39" spans="3:12" x14ac:dyDescent="0.2">
      <c r="C39" s="1" t="s">
        <v>257</v>
      </c>
      <c r="D39" s="18">
        <f t="shared" si="6"/>
        <v>3484</v>
      </c>
      <c r="E39" s="43">
        <f t="shared" si="7"/>
        <v>3426</v>
      </c>
      <c r="F39" s="5">
        <v>3426</v>
      </c>
      <c r="G39" s="19" t="s">
        <v>361</v>
      </c>
      <c r="H39" s="19" t="s">
        <v>361</v>
      </c>
      <c r="I39" s="5">
        <v>58</v>
      </c>
      <c r="J39" s="43">
        <f t="shared" si="8"/>
        <v>3426</v>
      </c>
      <c r="K39" s="5">
        <v>2255</v>
      </c>
      <c r="L39" s="43">
        <f t="shared" si="9"/>
        <v>1171</v>
      </c>
    </row>
    <row r="40" spans="3:12" x14ac:dyDescent="0.2">
      <c r="C40" s="1" t="s">
        <v>258</v>
      </c>
      <c r="D40" s="18">
        <f t="shared" si="6"/>
        <v>2861</v>
      </c>
      <c r="E40" s="43">
        <f t="shared" si="7"/>
        <v>2846</v>
      </c>
      <c r="F40" s="19" t="s">
        <v>361</v>
      </c>
      <c r="G40" s="5">
        <v>2846</v>
      </c>
      <c r="H40" s="19" t="s">
        <v>361</v>
      </c>
      <c r="I40" s="5">
        <v>15</v>
      </c>
      <c r="J40" s="43">
        <f t="shared" si="8"/>
        <v>2846</v>
      </c>
      <c r="K40" s="5">
        <v>2641</v>
      </c>
      <c r="L40" s="43">
        <f t="shared" si="9"/>
        <v>205</v>
      </c>
    </row>
    <row r="41" spans="3:12" x14ac:dyDescent="0.2">
      <c r="C41" s="1" t="s">
        <v>259</v>
      </c>
      <c r="D41" s="18">
        <f t="shared" si="6"/>
        <v>352</v>
      </c>
      <c r="E41" s="43">
        <f t="shared" si="7"/>
        <v>352</v>
      </c>
      <c r="F41" s="5">
        <v>352</v>
      </c>
      <c r="G41" s="19" t="s">
        <v>361</v>
      </c>
      <c r="H41" s="19" t="s">
        <v>361</v>
      </c>
      <c r="I41" s="19" t="s">
        <v>361</v>
      </c>
      <c r="J41" s="43">
        <f t="shared" si="8"/>
        <v>352</v>
      </c>
      <c r="K41" s="5">
        <v>281</v>
      </c>
      <c r="L41" s="43">
        <f t="shared" si="9"/>
        <v>71</v>
      </c>
    </row>
    <row r="42" spans="3:12" x14ac:dyDescent="0.2">
      <c r="C42" s="1" t="s">
        <v>260</v>
      </c>
      <c r="D42" s="18">
        <f t="shared" si="6"/>
        <v>6636</v>
      </c>
      <c r="E42" s="43">
        <f t="shared" si="7"/>
        <v>6636</v>
      </c>
      <c r="F42" s="5">
        <v>6636</v>
      </c>
      <c r="G42" s="19" t="s">
        <v>361</v>
      </c>
      <c r="H42" s="19" t="s">
        <v>361</v>
      </c>
      <c r="I42" s="19" t="s">
        <v>361</v>
      </c>
      <c r="J42" s="43">
        <f t="shared" si="8"/>
        <v>6636</v>
      </c>
      <c r="K42" s="5">
        <v>4490</v>
      </c>
      <c r="L42" s="43">
        <f t="shared" si="9"/>
        <v>2146</v>
      </c>
    </row>
    <row r="43" spans="3:12" x14ac:dyDescent="0.2">
      <c r="C43" s="1" t="s">
        <v>261</v>
      </c>
      <c r="D43" s="18">
        <f t="shared" si="6"/>
        <v>4016</v>
      </c>
      <c r="E43" s="43">
        <f t="shared" si="7"/>
        <v>4016</v>
      </c>
      <c r="F43" s="5">
        <v>4016</v>
      </c>
      <c r="G43" s="19" t="s">
        <v>361</v>
      </c>
      <c r="H43" s="19" t="s">
        <v>361</v>
      </c>
      <c r="I43" s="19" t="s">
        <v>361</v>
      </c>
      <c r="J43" s="43">
        <f t="shared" si="8"/>
        <v>4016</v>
      </c>
      <c r="K43" s="5">
        <v>3303</v>
      </c>
      <c r="L43" s="43">
        <f t="shared" si="9"/>
        <v>713</v>
      </c>
    </row>
    <row r="44" spans="3:12" x14ac:dyDescent="0.2">
      <c r="C44" s="1" t="s">
        <v>262</v>
      </c>
      <c r="D44" s="18">
        <f t="shared" si="6"/>
        <v>8121</v>
      </c>
      <c r="E44" s="43">
        <f t="shared" si="7"/>
        <v>8087</v>
      </c>
      <c r="F44" s="5">
        <v>8087</v>
      </c>
      <c r="G44" s="19" t="s">
        <v>361</v>
      </c>
      <c r="H44" s="19" t="s">
        <v>361</v>
      </c>
      <c r="I44" s="5">
        <v>34</v>
      </c>
      <c r="J44" s="43">
        <f t="shared" si="8"/>
        <v>8087</v>
      </c>
      <c r="K44" s="5">
        <v>7408</v>
      </c>
      <c r="L44" s="43">
        <f t="shared" si="9"/>
        <v>679</v>
      </c>
    </row>
    <row r="45" spans="3:12" x14ac:dyDescent="0.2">
      <c r="C45" s="1" t="s">
        <v>263</v>
      </c>
      <c r="D45" s="18">
        <f t="shared" si="6"/>
        <v>5175</v>
      </c>
      <c r="E45" s="43">
        <f t="shared" si="7"/>
        <v>4971</v>
      </c>
      <c r="F45" s="5">
        <v>4971</v>
      </c>
      <c r="G45" s="19" t="s">
        <v>361</v>
      </c>
      <c r="H45" s="19" t="s">
        <v>361</v>
      </c>
      <c r="I45" s="5">
        <v>204</v>
      </c>
      <c r="J45" s="43">
        <f t="shared" si="8"/>
        <v>4971</v>
      </c>
      <c r="K45" s="5">
        <v>4587</v>
      </c>
      <c r="L45" s="43">
        <f t="shared" si="9"/>
        <v>384</v>
      </c>
    </row>
    <row r="46" spans="3:12" x14ac:dyDescent="0.2">
      <c r="C46" s="1" t="s">
        <v>264</v>
      </c>
      <c r="D46" s="18">
        <f t="shared" si="6"/>
        <v>2544</v>
      </c>
      <c r="E46" s="43">
        <f t="shared" si="7"/>
        <v>2521</v>
      </c>
      <c r="F46" s="5">
        <v>2521</v>
      </c>
      <c r="G46" s="19" t="s">
        <v>361</v>
      </c>
      <c r="H46" s="19" t="s">
        <v>361</v>
      </c>
      <c r="I46" s="5">
        <v>23</v>
      </c>
      <c r="J46" s="43">
        <f t="shared" si="8"/>
        <v>2521</v>
      </c>
      <c r="K46" s="5">
        <v>2166</v>
      </c>
      <c r="L46" s="43">
        <f t="shared" si="9"/>
        <v>355</v>
      </c>
    </row>
    <row r="47" spans="3:12" x14ac:dyDescent="0.2">
      <c r="C47" s="1" t="s">
        <v>265</v>
      </c>
      <c r="D47" s="18">
        <f t="shared" si="6"/>
        <v>4438</v>
      </c>
      <c r="E47" s="43">
        <f t="shared" si="7"/>
        <v>4438</v>
      </c>
      <c r="F47" s="5">
        <v>4438</v>
      </c>
      <c r="G47" s="19" t="s">
        <v>361</v>
      </c>
      <c r="H47" s="19" t="s">
        <v>361</v>
      </c>
      <c r="I47" s="19" t="s">
        <v>361</v>
      </c>
      <c r="J47" s="43">
        <f t="shared" si="8"/>
        <v>4438</v>
      </c>
      <c r="K47" s="5">
        <v>2938</v>
      </c>
      <c r="L47" s="43">
        <f t="shared" si="9"/>
        <v>1500</v>
      </c>
    </row>
    <row r="48" spans="3:12" x14ac:dyDescent="0.2">
      <c r="C48" s="1" t="s">
        <v>266</v>
      </c>
      <c r="D48" s="18">
        <f t="shared" si="6"/>
        <v>4815</v>
      </c>
      <c r="E48" s="43">
        <f t="shared" si="7"/>
        <v>4801</v>
      </c>
      <c r="F48" s="5">
        <v>4801</v>
      </c>
      <c r="G48" s="19" t="s">
        <v>361</v>
      </c>
      <c r="H48" s="19" t="s">
        <v>361</v>
      </c>
      <c r="I48" s="5">
        <v>14</v>
      </c>
      <c r="J48" s="43">
        <f t="shared" si="8"/>
        <v>4801</v>
      </c>
      <c r="K48" s="5">
        <v>3760</v>
      </c>
      <c r="L48" s="43">
        <f t="shared" si="9"/>
        <v>1041</v>
      </c>
    </row>
    <row r="49" spans="3:12" x14ac:dyDescent="0.2">
      <c r="C49" s="1" t="s">
        <v>267</v>
      </c>
      <c r="D49" s="18">
        <f t="shared" si="6"/>
        <v>4531</v>
      </c>
      <c r="E49" s="43">
        <f t="shared" si="7"/>
        <v>4435</v>
      </c>
      <c r="F49" s="5">
        <v>4435</v>
      </c>
      <c r="G49" s="19" t="s">
        <v>361</v>
      </c>
      <c r="H49" s="19" t="s">
        <v>361</v>
      </c>
      <c r="I49" s="5">
        <v>96</v>
      </c>
      <c r="J49" s="43">
        <f t="shared" si="8"/>
        <v>4435</v>
      </c>
      <c r="K49" s="5">
        <v>2817</v>
      </c>
      <c r="L49" s="43">
        <f t="shared" si="9"/>
        <v>1618</v>
      </c>
    </row>
    <row r="50" spans="3:12" x14ac:dyDescent="0.2">
      <c r="C50" s="1" t="s">
        <v>268</v>
      </c>
      <c r="D50" s="18">
        <f t="shared" si="6"/>
        <v>4129</v>
      </c>
      <c r="E50" s="43">
        <f t="shared" si="7"/>
        <v>4129</v>
      </c>
      <c r="F50" s="5">
        <v>4129</v>
      </c>
      <c r="G50" s="19" t="s">
        <v>361</v>
      </c>
      <c r="H50" s="19" t="s">
        <v>361</v>
      </c>
      <c r="I50" s="19" t="s">
        <v>361</v>
      </c>
      <c r="J50" s="43">
        <f t="shared" si="8"/>
        <v>4129</v>
      </c>
      <c r="K50" s="5">
        <v>2827</v>
      </c>
      <c r="L50" s="43">
        <f t="shared" si="9"/>
        <v>1302</v>
      </c>
    </row>
    <row r="51" spans="3:12" x14ac:dyDescent="0.2">
      <c r="C51" s="1" t="s">
        <v>269</v>
      </c>
      <c r="D51" s="18">
        <f t="shared" si="6"/>
        <v>1621</v>
      </c>
      <c r="E51" s="43">
        <f t="shared" si="7"/>
        <v>1462</v>
      </c>
      <c r="F51" s="5">
        <v>1462</v>
      </c>
      <c r="G51" s="19" t="s">
        <v>361</v>
      </c>
      <c r="H51" s="19" t="s">
        <v>361</v>
      </c>
      <c r="I51" s="5">
        <v>159</v>
      </c>
      <c r="J51" s="43">
        <f t="shared" si="8"/>
        <v>1462</v>
      </c>
      <c r="K51" s="5">
        <v>899</v>
      </c>
      <c r="L51" s="43">
        <f t="shared" si="9"/>
        <v>563</v>
      </c>
    </row>
    <row r="52" spans="3:12" x14ac:dyDescent="0.2">
      <c r="C52" s="1" t="s">
        <v>270</v>
      </c>
      <c r="D52" s="18">
        <f t="shared" si="6"/>
        <v>1068</v>
      </c>
      <c r="E52" s="43">
        <f t="shared" si="7"/>
        <v>922</v>
      </c>
      <c r="F52" s="5">
        <v>922</v>
      </c>
      <c r="G52" s="19" t="s">
        <v>361</v>
      </c>
      <c r="H52" s="19" t="s">
        <v>361</v>
      </c>
      <c r="I52" s="5">
        <v>146</v>
      </c>
      <c r="J52" s="43">
        <f t="shared" si="8"/>
        <v>922</v>
      </c>
      <c r="K52" s="5">
        <v>587</v>
      </c>
      <c r="L52" s="43">
        <f t="shared" si="9"/>
        <v>335</v>
      </c>
    </row>
    <row r="53" spans="3:12" x14ac:dyDescent="0.2">
      <c r="C53" s="1" t="s">
        <v>271</v>
      </c>
      <c r="D53" s="18">
        <f t="shared" si="6"/>
        <v>3329</v>
      </c>
      <c r="E53" s="43">
        <f t="shared" si="7"/>
        <v>3264</v>
      </c>
      <c r="F53" s="5">
        <v>3264</v>
      </c>
      <c r="G53" s="19" t="s">
        <v>361</v>
      </c>
      <c r="H53" s="19" t="s">
        <v>361</v>
      </c>
      <c r="I53" s="5">
        <v>65</v>
      </c>
      <c r="J53" s="43">
        <f t="shared" si="8"/>
        <v>3264</v>
      </c>
      <c r="K53" s="5">
        <v>1596</v>
      </c>
      <c r="L53" s="43">
        <f t="shared" si="9"/>
        <v>1668</v>
      </c>
    </row>
    <row r="54" spans="3:12" x14ac:dyDescent="0.2">
      <c r="C54" s="1" t="s">
        <v>272</v>
      </c>
      <c r="D54" s="18">
        <f t="shared" si="6"/>
        <v>4175</v>
      </c>
      <c r="E54" s="43">
        <f t="shared" si="7"/>
        <v>4155</v>
      </c>
      <c r="F54" s="5">
        <v>4155</v>
      </c>
      <c r="G54" s="19" t="s">
        <v>361</v>
      </c>
      <c r="H54" s="19" t="s">
        <v>361</v>
      </c>
      <c r="I54" s="5">
        <v>20</v>
      </c>
      <c r="J54" s="43">
        <f t="shared" si="8"/>
        <v>4155</v>
      </c>
      <c r="K54" s="5">
        <v>2965</v>
      </c>
      <c r="L54" s="43">
        <f t="shared" si="9"/>
        <v>1190</v>
      </c>
    </row>
    <row r="55" spans="3:12" x14ac:dyDescent="0.2">
      <c r="C55" s="1" t="s">
        <v>273</v>
      </c>
      <c r="D55" s="18">
        <f t="shared" si="6"/>
        <v>4170</v>
      </c>
      <c r="E55" s="43">
        <f t="shared" si="7"/>
        <v>4170</v>
      </c>
      <c r="F55" s="5">
        <v>4170</v>
      </c>
      <c r="G55" s="19" t="s">
        <v>361</v>
      </c>
      <c r="H55" s="19" t="s">
        <v>361</v>
      </c>
      <c r="I55" s="19" t="s">
        <v>361</v>
      </c>
      <c r="J55" s="43">
        <f t="shared" si="8"/>
        <v>4170</v>
      </c>
      <c r="K55" s="5">
        <v>2189</v>
      </c>
      <c r="L55" s="43">
        <f t="shared" si="9"/>
        <v>1981</v>
      </c>
    </row>
    <row r="56" spans="3:12" x14ac:dyDescent="0.2">
      <c r="C56" s="1" t="s">
        <v>274</v>
      </c>
      <c r="D56" s="18">
        <f t="shared" si="6"/>
        <v>5613</v>
      </c>
      <c r="E56" s="43">
        <f t="shared" si="7"/>
        <v>5613</v>
      </c>
      <c r="F56" s="5">
        <v>5613</v>
      </c>
      <c r="G56" s="19" t="s">
        <v>361</v>
      </c>
      <c r="H56" s="19" t="s">
        <v>361</v>
      </c>
      <c r="I56" s="19" t="s">
        <v>361</v>
      </c>
      <c r="J56" s="43">
        <f t="shared" si="8"/>
        <v>5613</v>
      </c>
      <c r="K56" s="5">
        <v>4377</v>
      </c>
      <c r="L56" s="43">
        <f t="shared" si="9"/>
        <v>1236</v>
      </c>
    </row>
    <row r="57" spans="3:12" x14ac:dyDescent="0.2">
      <c r="C57" s="1" t="s">
        <v>275</v>
      </c>
      <c r="D57" s="18">
        <f t="shared" si="6"/>
        <v>9805</v>
      </c>
      <c r="E57" s="43">
        <f t="shared" si="7"/>
        <v>9805</v>
      </c>
      <c r="F57" s="5">
        <v>9805</v>
      </c>
      <c r="G57" s="19" t="s">
        <v>361</v>
      </c>
      <c r="H57" s="19" t="s">
        <v>361</v>
      </c>
      <c r="I57" s="19" t="s">
        <v>361</v>
      </c>
      <c r="J57" s="43">
        <f t="shared" si="8"/>
        <v>9805</v>
      </c>
      <c r="K57" s="5">
        <v>3076</v>
      </c>
      <c r="L57" s="43">
        <f t="shared" si="9"/>
        <v>6729</v>
      </c>
    </row>
    <row r="58" spans="3:12" x14ac:dyDescent="0.2">
      <c r="C58" s="1" t="s">
        <v>276</v>
      </c>
      <c r="D58" s="18">
        <f t="shared" si="6"/>
        <v>1902</v>
      </c>
      <c r="E58" s="43">
        <f t="shared" si="7"/>
        <v>1853</v>
      </c>
      <c r="F58" s="5">
        <v>1853</v>
      </c>
      <c r="G58" s="19" t="s">
        <v>361</v>
      </c>
      <c r="H58" s="19" t="s">
        <v>361</v>
      </c>
      <c r="I58" s="5">
        <v>49</v>
      </c>
      <c r="J58" s="43">
        <f t="shared" si="8"/>
        <v>1853</v>
      </c>
      <c r="K58" s="5">
        <v>1365</v>
      </c>
      <c r="L58" s="43">
        <f t="shared" si="9"/>
        <v>488</v>
      </c>
    </row>
    <row r="59" spans="3:12" x14ac:dyDescent="0.2">
      <c r="C59" s="1" t="s">
        <v>277</v>
      </c>
      <c r="D59" s="18">
        <f t="shared" si="6"/>
        <v>1426</v>
      </c>
      <c r="E59" s="43">
        <f t="shared" si="7"/>
        <v>1191</v>
      </c>
      <c r="F59" s="5">
        <v>1191</v>
      </c>
      <c r="G59" s="19" t="s">
        <v>361</v>
      </c>
      <c r="H59" s="19" t="s">
        <v>361</v>
      </c>
      <c r="I59" s="5">
        <v>235</v>
      </c>
      <c r="J59" s="43">
        <f t="shared" si="8"/>
        <v>1191</v>
      </c>
      <c r="K59" s="5">
        <v>749</v>
      </c>
      <c r="L59" s="43">
        <f t="shared" si="9"/>
        <v>442</v>
      </c>
    </row>
    <row r="60" spans="3:12" x14ac:dyDescent="0.2">
      <c r="C60" s="1" t="s">
        <v>278</v>
      </c>
      <c r="D60" s="18">
        <f t="shared" si="6"/>
        <v>7229</v>
      </c>
      <c r="E60" s="43">
        <f t="shared" si="7"/>
        <v>7229</v>
      </c>
      <c r="F60" s="5">
        <v>7229</v>
      </c>
      <c r="G60" s="19" t="s">
        <v>361</v>
      </c>
      <c r="H60" s="19" t="s">
        <v>361</v>
      </c>
      <c r="I60" s="19" t="s">
        <v>361</v>
      </c>
      <c r="J60" s="43">
        <f t="shared" si="8"/>
        <v>7229</v>
      </c>
      <c r="K60" s="5">
        <v>3900</v>
      </c>
      <c r="L60" s="43">
        <f t="shared" si="9"/>
        <v>3329</v>
      </c>
    </row>
    <row r="61" spans="3:12" x14ac:dyDescent="0.2">
      <c r="C61" s="1" t="s">
        <v>279</v>
      </c>
      <c r="D61" s="18">
        <f t="shared" si="6"/>
        <v>2381</v>
      </c>
      <c r="E61" s="43">
        <f t="shared" si="7"/>
        <v>2348</v>
      </c>
      <c r="F61" s="5">
        <v>2348</v>
      </c>
      <c r="G61" s="19" t="s">
        <v>361</v>
      </c>
      <c r="H61" s="19" t="s">
        <v>361</v>
      </c>
      <c r="I61" s="5">
        <v>33</v>
      </c>
      <c r="J61" s="43">
        <f t="shared" si="8"/>
        <v>2348</v>
      </c>
      <c r="K61" s="5">
        <v>1430</v>
      </c>
      <c r="L61" s="43">
        <f t="shared" si="9"/>
        <v>918</v>
      </c>
    </row>
    <row r="62" spans="3:12" x14ac:dyDescent="0.2">
      <c r="C62" s="1" t="s">
        <v>280</v>
      </c>
      <c r="D62" s="18">
        <f t="shared" si="6"/>
        <v>4385</v>
      </c>
      <c r="E62" s="43">
        <f t="shared" si="7"/>
        <v>4303</v>
      </c>
      <c r="F62" s="5">
        <v>4303</v>
      </c>
      <c r="G62" s="19" t="s">
        <v>361</v>
      </c>
      <c r="H62" s="19" t="s">
        <v>361</v>
      </c>
      <c r="I62" s="5">
        <v>82</v>
      </c>
      <c r="J62" s="43">
        <f t="shared" si="8"/>
        <v>4303</v>
      </c>
      <c r="K62" s="5">
        <v>2431</v>
      </c>
      <c r="L62" s="43">
        <f t="shared" si="9"/>
        <v>1872</v>
      </c>
    </row>
    <row r="63" spans="3:12" x14ac:dyDescent="0.2">
      <c r="C63" s="1" t="s">
        <v>281</v>
      </c>
      <c r="D63" s="18">
        <f t="shared" si="6"/>
        <v>9931</v>
      </c>
      <c r="E63" s="43">
        <f t="shared" si="7"/>
        <v>9881</v>
      </c>
      <c r="F63" s="5">
        <v>9881</v>
      </c>
      <c r="G63" s="19" t="s">
        <v>361</v>
      </c>
      <c r="H63" s="19" t="s">
        <v>361</v>
      </c>
      <c r="I63" s="5">
        <v>50</v>
      </c>
      <c r="J63" s="43">
        <f t="shared" si="8"/>
        <v>9881</v>
      </c>
      <c r="K63" s="5">
        <v>6725</v>
      </c>
      <c r="L63" s="43">
        <f t="shared" si="9"/>
        <v>3156</v>
      </c>
    </row>
    <row r="64" spans="3:12" x14ac:dyDescent="0.2">
      <c r="C64" s="1" t="s">
        <v>282</v>
      </c>
      <c r="D64" s="18">
        <f t="shared" si="6"/>
        <v>10752</v>
      </c>
      <c r="E64" s="43">
        <f t="shared" si="7"/>
        <v>10522</v>
      </c>
      <c r="F64" s="5">
        <v>10522</v>
      </c>
      <c r="G64" s="19" t="s">
        <v>361</v>
      </c>
      <c r="H64" s="19" t="s">
        <v>361</v>
      </c>
      <c r="I64" s="5">
        <v>230</v>
      </c>
      <c r="J64" s="43">
        <f t="shared" si="8"/>
        <v>10522</v>
      </c>
      <c r="K64" s="5">
        <v>4837</v>
      </c>
      <c r="L64" s="43">
        <f t="shared" si="9"/>
        <v>5685</v>
      </c>
    </row>
    <row r="65" spans="1:12" x14ac:dyDescent="0.2">
      <c r="C65" s="1" t="s">
        <v>283</v>
      </c>
      <c r="D65" s="18">
        <f t="shared" si="6"/>
        <v>1316</v>
      </c>
      <c r="E65" s="43">
        <f t="shared" si="7"/>
        <v>1316</v>
      </c>
      <c r="F65" s="5">
        <v>1316</v>
      </c>
      <c r="G65" s="19" t="s">
        <v>361</v>
      </c>
      <c r="H65" s="19" t="s">
        <v>361</v>
      </c>
      <c r="I65" s="19" t="s">
        <v>361</v>
      </c>
      <c r="J65" s="43">
        <f t="shared" si="8"/>
        <v>1316</v>
      </c>
      <c r="K65" s="5">
        <v>419</v>
      </c>
      <c r="L65" s="43">
        <f t="shared" si="9"/>
        <v>897</v>
      </c>
    </row>
    <row r="66" spans="1:12" x14ac:dyDescent="0.2">
      <c r="C66" s="1" t="s">
        <v>284</v>
      </c>
      <c r="D66" s="18">
        <f t="shared" si="6"/>
        <v>3239</v>
      </c>
      <c r="E66" s="43">
        <f t="shared" si="7"/>
        <v>3233</v>
      </c>
      <c r="F66" s="5">
        <v>3233</v>
      </c>
      <c r="G66" s="19" t="s">
        <v>361</v>
      </c>
      <c r="H66" s="19" t="s">
        <v>361</v>
      </c>
      <c r="I66" s="5">
        <v>6</v>
      </c>
      <c r="J66" s="43">
        <f t="shared" si="8"/>
        <v>3233</v>
      </c>
      <c r="K66" s="5">
        <v>2026</v>
      </c>
      <c r="L66" s="43">
        <f t="shared" si="9"/>
        <v>1207</v>
      </c>
    </row>
    <row r="67" spans="1:12" x14ac:dyDescent="0.2">
      <c r="C67" s="1" t="s">
        <v>285</v>
      </c>
      <c r="D67" s="18">
        <f t="shared" si="6"/>
        <v>2725</v>
      </c>
      <c r="E67" s="43">
        <f t="shared" si="7"/>
        <v>2068</v>
      </c>
      <c r="F67" s="5">
        <v>2068</v>
      </c>
      <c r="G67" s="19" t="s">
        <v>361</v>
      </c>
      <c r="H67" s="19" t="s">
        <v>361</v>
      </c>
      <c r="I67" s="5">
        <v>657</v>
      </c>
      <c r="J67" s="43">
        <f t="shared" si="8"/>
        <v>2068</v>
      </c>
      <c r="K67" s="5">
        <v>982</v>
      </c>
      <c r="L67" s="43">
        <f t="shared" si="9"/>
        <v>1086</v>
      </c>
    </row>
    <row r="68" spans="1:12" x14ac:dyDescent="0.2">
      <c r="C68" s="1" t="s">
        <v>286</v>
      </c>
      <c r="D68" s="18">
        <f t="shared" si="6"/>
        <v>1177</v>
      </c>
      <c r="E68" s="43">
        <f t="shared" si="7"/>
        <v>1149</v>
      </c>
      <c r="F68" s="5">
        <v>1149</v>
      </c>
      <c r="G68" s="19" t="s">
        <v>361</v>
      </c>
      <c r="H68" s="19" t="s">
        <v>361</v>
      </c>
      <c r="I68" s="5">
        <v>28</v>
      </c>
      <c r="J68" s="43">
        <f t="shared" si="8"/>
        <v>1149</v>
      </c>
      <c r="K68" s="5">
        <v>528</v>
      </c>
      <c r="L68" s="43">
        <f t="shared" si="9"/>
        <v>621</v>
      </c>
    </row>
    <row r="69" spans="1:12" x14ac:dyDescent="0.2">
      <c r="C69" s="1" t="s">
        <v>287</v>
      </c>
      <c r="D69" s="18">
        <f t="shared" si="6"/>
        <v>2620</v>
      </c>
      <c r="E69" s="43">
        <f t="shared" si="7"/>
        <v>2320</v>
      </c>
      <c r="F69" s="5">
        <v>2320</v>
      </c>
      <c r="G69" s="19" t="s">
        <v>361</v>
      </c>
      <c r="H69" s="19" t="s">
        <v>361</v>
      </c>
      <c r="I69" s="5">
        <v>300</v>
      </c>
      <c r="J69" s="43">
        <f t="shared" si="8"/>
        <v>2320</v>
      </c>
      <c r="K69" s="5">
        <v>1504</v>
      </c>
      <c r="L69" s="43">
        <f t="shared" si="9"/>
        <v>816</v>
      </c>
    </row>
    <row r="70" spans="1:12" x14ac:dyDescent="0.2">
      <c r="C70" s="1" t="s">
        <v>288</v>
      </c>
      <c r="D70" s="18">
        <f t="shared" si="6"/>
        <v>359</v>
      </c>
      <c r="E70" s="43">
        <f t="shared" si="7"/>
        <v>302</v>
      </c>
      <c r="F70" s="5">
        <v>302</v>
      </c>
      <c r="G70" s="19" t="s">
        <v>361</v>
      </c>
      <c r="H70" s="19" t="s">
        <v>361</v>
      </c>
      <c r="I70" s="5">
        <v>57</v>
      </c>
      <c r="J70" s="43">
        <f t="shared" si="8"/>
        <v>302</v>
      </c>
      <c r="K70" s="5">
        <v>66</v>
      </c>
      <c r="L70" s="43">
        <f t="shared" si="9"/>
        <v>236</v>
      </c>
    </row>
    <row r="71" spans="1:12" ht="18" thickBot="1" x14ac:dyDescent="0.25">
      <c r="B71" s="6"/>
      <c r="C71" s="51"/>
      <c r="D71" s="23"/>
      <c r="E71" s="51"/>
      <c r="F71" s="51"/>
      <c r="G71" s="45" t="s">
        <v>18</v>
      </c>
      <c r="H71" s="51"/>
      <c r="I71" s="51"/>
      <c r="J71" s="51"/>
      <c r="K71" s="51"/>
      <c r="L71" s="51"/>
    </row>
    <row r="72" spans="1:12" x14ac:dyDescent="0.2">
      <c r="C72" s="21"/>
      <c r="D72" s="24" t="s">
        <v>313</v>
      </c>
      <c r="K72" s="21"/>
    </row>
    <row r="73" spans="1:12" x14ac:dyDescent="0.2">
      <c r="A73" s="1"/>
      <c r="C73" s="21"/>
      <c r="K73" s="21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23.375" style="2" customWidth="1"/>
    <col min="4" max="4" width="14.625" style="2" customWidth="1"/>
    <col min="5" max="256" width="13.375" style="2"/>
    <col min="257" max="257" width="13.375" style="2" customWidth="1"/>
    <col min="258" max="258" width="12.125" style="2" customWidth="1"/>
    <col min="259" max="259" width="23.375" style="2" customWidth="1"/>
    <col min="260" max="260" width="14.625" style="2" customWidth="1"/>
    <col min="261" max="512" width="13.375" style="2"/>
    <col min="513" max="513" width="13.375" style="2" customWidth="1"/>
    <col min="514" max="514" width="12.125" style="2" customWidth="1"/>
    <col min="515" max="515" width="23.375" style="2" customWidth="1"/>
    <col min="516" max="516" width="14.625" style="2" customWidth="1"/>
    <col min="517" max="768" width="13.375" style="2"/>
    <col min="769" max="769" width="13.375" style="2" customWidth="1"/>
    <col min="770" max="770" width="12.125" style="2" customWidth="1"/>
    <col min="771" max="771" width="23.375" style="2" customWidth="1"/>
    <col min="772" max="772" width="14.625" style="2" customWidth="1"/>
    <col min="773" max="1024" width="13.375" style="2"/>
    <col min="1025" max="1025" width="13.375" style="2" customWidth="1"/>
    <col min="1026" max="1026" width="12.125" style="2" customWidth="1"/>
    <col min="1027" max="1027" width="23.375" style="2" customWidth="1"/>
    <col min="1028" max="1028" width="14.625" style="2" customWidth="1"/>
    <col min="1029" max="1280" width="13.375" style="2"/>
    <col min="1281" max="1281" width="13.375" style="2" customWidth="1"/>
    <col min="1282" max="1282" width="12.125" style="2" customWidth="1"/>
    <col min="1283" max="1283" width="23.375" style="2" customWidth="1"/>
    <col min="1284" max="1284" width="14.625" style="2" customWidth="1"/>
    <col min="1285" max="1536" width="13.375" style="2"/>
    <col min="1537" max="1537" width="13.375" style="2" customWidth="1"/>
    <col min="1538" max="1538" width="12.125" style="2" customWidth="1"/>
    <col min="1539" max="1539" width="23.375" style="2" customWidth="1"/>
    <col min="1540" max="1540" width="14.625" style="2" customWidth="1"/>
    <col min="1541" max="1792" width="13.375" style="2"/>
    <col min="1793" max="1793" width="13.375" style="2" customWidth="1"/>
    <col min="1794" max="1794" width="12.125" style="2" customWidth="1"/>
    <col min="1795" max="1795" width="23.375" style="2" customWidth="1"/>
    <col min="1796" max="1796" width="14.625" style="2" customWidth="1"/>
    <col min="1797" max="2048" width="13.375" style="2"/>
    <col min="2049" max="2049" width="13.375" style="2" customWidth="1"/>
    <col min="2050" max="2050" width="12.125" style="2" customWidth="1"/>
    <col min="2051" max="2051" width="23.375" style="2" customWidth="1"/>
    <col min="2052" max="2052" width="14.625" style="2" customWidth="1"/>
    <col min="2053" max="2304" width="13.375" style="2"/>
    <col min="2305" max="2305" width="13.375" style="2" customWidth="1"/>
    <col min="2306" max="2306" width="12.125" style="2" customWidth="1"/>
    <col min="2307" max="2307" width="23.375" style="2" customWidth="1"/>
    <col min="2308" max="2308" width="14.625" style="2" customWidth="1"/>
    <col min="2309" max="2560" width="13.375" style="2"/>
    <col min="2561" max="2561" width="13.375" style="2" customWidth="1"/>
    <col min="2562" max="2562" width="12.125" style="2" customWidth="1"/>
    <col min="2563" max="2563" width="23.375" style="2" customWidth="1"/>
    <col min="2564" max="2564" width="14.625" style="2" customWidth="1"/>
    <col min="2565" max="2816" width="13.375" style="2"/>
    <col min="2817" max="2817" width="13.375" style="2" customWidth="1"/>
    <col min="2818" max="2818" width="12.125" style="2" customWidth="1"/>
    <col min="2819" max="2819" width="23.375" style="2" customWidth="1"/>
    <col min="2820" max="2820" width="14.625" style="2" customWidth="1"/>
    <col min="2821" max="3072" width="13.375" style="2"/>
    <col min="3073" max="3073" width="13.375" style="2" customWidth="1"/>
    <col min="3074" max="3074" width="12.125" style="2" customWidth="1"/>
    <col min="3075" max="3075" width="23.375" style="2" customWidth="1"/>
    <col min="3076" max="3076" width="14.625" style="2" customWidth="1"/>
    <col min="3077" max="3328" width="13.375" style="2"/>
    <col min="3329" max="3329" width="13.375" style="2" customWidth="1"/>
    <col min="3330" max="3330" width="12.125" style="2" customWidth="1"/>
    <col min="3331" max="3331" width="23.375" style="2" customWidth="1"/>
    <col min="3332" max="3332" width="14.625" style="2" customWidth="1"/>
    <col min="3333" max="3584" width="13.375" style="2"/>
    <col min="3585" max="3585" width="13.375" style="2" customWidth="1"/>
    <col min="3586" max="3586" width="12.125" style="2" customWidth="1"/>
    <col min="3587" max="3587" width="23.375" style="2" customWidth="1"/>
    <col min="3588" max="3588" width="14.625" style="2" customWidth="1"/>
    <col min="3589" max="3840" width="13.375" style="2"/>
    <col min="3841" max="3841" width="13.375" style="2" customWidth="1"/>
    <col min="3842" max="3842" width="12.125" style="2" customWidth="1"/>
    <col min="3843" max="3843" width="23.375" style="2" customWidth="1"/>
    <col min="3844" max="3844" width="14.625" style="2" customWidth="1"/>
    <col min="3845" max="4096" width="13.375" style="2"/>
    <col min="4097" max="4097" width="13.375" style="2" customWidth="1"/>
    <col min="4098" max="4098" width="12.125" style="2" customWidth="1"/>
    <col min="4099" max="4099" width="23.375" style="2" customWidth="1"/>
    <col min="4100" max="4100" width="14.625" style="2" customWidth="1"/>
    <col min="4101" max="4352" width="13.375" style="2"/>
    <col min="4353" max="4353" width="13.375" style="2" customWidth="1"/>
    <col min="4354" max="4354" width="12.125" style="2" customWidth="1"/>
    <col min="4355" max="4355" width="23.375" style="2" customWidth="1"/>
    <col min="4356" max="4356" width="14.625" style="2" customWidth="1"/>
    <col min="4357" max="4608" width="13.375" style="2"/>
    <col min="4609" max="4609" width="13.375" style="2" customWidth="1"/>
    <col min="4610" max="4610" width="12.125" style="2" customWidth="1"/>
    <col min="4611" max="4611" width="23.375" style="2" customWidth="1"/>
    <col min="4612" max="4612" width="14.625" style="2" customWidth="1"/>
    <col min="4613" max="4864" width="13.375" style="2"/>
    <col min="4865" max="4865" width="13.375" style="2" customWidth="1"/>
    <col min="4866" max="4866" width="12.125" style="2" customWidth="1"/>
    <col min="4867" max="4867" width="23.375" style="2" customWidth="1"/>
    <col min="4868" max="4868" width="14.625" style="2" customWidth="1"/>
    <col min="4869" max="5120" width="13.375" style="2"/>
    <col min="5121" max="5121" width="13.375" style="2" customWidth="1"/>
    <col min="5122" max="5122" width="12.125" style="2" customWidth="1"/>
    <col min="5123" max="5123" width="23.375" style="2" customWidth="1"/>
    <col min="5124" max="5124" width="14.625" style="2" customWidth="1"/>
    <col min="5125" max="5376" width="13.375" style="2"/>
    <col min="5377" max="5377" width="13.375" style="2" customWidth="1"/>
    <col min="5378" max="5378" width="12.125" style="2" customWidth="1"/>
    <col min="5379" max="5379" width="23.375" style="2" customWidth="1"/>
    <col min="5380" max="5380" width="14.625" style="2" customWidth="1"/>
    <col min="5381" max="5632" width="13.375" style="2"/>
    <col min="5633" max="5633" width="13.375" style="2" customWidth="1"/>
    <col min="5634" max="5634" width="12.125" style="2" customWidth="1"/>
    <col min="5635" max="5635" width="23.375" style="2" customWidth="1"/>
    <col min="5636" max="5636" width="14.625" style="2" customWidth="1"/>
    <col min="5637" max="5888" width="13.375" style="2"/>
    <col min="5889" max="5889" width="13.375" style="2" customWidth="1"/>
    <col min="5890" max="5890" width="12.125" style="2" customWidth="1"/>
    <col min="5891" max="5891" width="23.375" style="2" customWidth="1"/>
    <col min="5892" max="5892" width="14.625" style="2" customWidth="1"/>
    <col min="5893" max="6144" width="13.375" style="2"/>
    <col min="6145" max="6145" width="13.375" style="2" customWidth="1"/>
    <col min="6146" max="6146" width="12.125" style="2" customWidth="1"/>
    <col min="6147" max="6147" width="23.375" style="2" customWidth="1"/>
    <col min="6148" max="6148" width="14.625" style="2" customWidth="1"/>
    <col min="6149" max="6400" width="13.375" style="2"/>
    <col min="6401" max="6401" width="13.375" style="2" customWidth="1"/>
    <col min="6402" max="6402" width="12.125" style="2" customWidth="1"/>
    <col min="6403" max="6403" width="23.375" style="2" customWidth="1"/>
    <col min="6404" max="6404" width="14.625" style="2" customWidth="1"/>
    <col min="6405" max="6656" width="13.375" style="2"/>
    <col min="6657" max="6657" width="13.375" style="2" customWidth="1"/>
    <col min="6658" max="6658" width="12.125" style="2" customWidth="1"/>
    <col min="6659" max="6659" width="23.375" style="2" customWidth="1"/>
    <col min="6660" max="6660" width="14.625" style="2" customWidth="1"/>
    <col min="6661" max="6912" width="13.375" style="2"/>
    <col min="6913" max="6913" width="13.375" style="2" customWidth="1"/>
    <col min="6914" max="6914" width="12.125" style="2" customWidth="1"/>
    <col min="6915" max="6915" width="23.375" style="2" customWidth="1"/>
    <col min="6916" max="6916" width="14.625" style="2" customWidth="1"/>
    <col min="6917" max="7168" width="13.375" style="2"/>
    <col min="7169" max="7169" width="13.375" style="2" customWidth="1"/>
    <col min="7170" max="7170" width="12.125" style="2" customWidth="1"/>
    <col min="7171" max="7171" width="23.375" style="2" customWidth="1"/>
    <col min="7172" max="7172" width="14.625" style="2" customWidth="1"/>
    <col min="7173" max="7424" width="13.375" style="2"/>
    <col min="7425" max="7425" width="13.375" style="2" customWidth="1"/>
    <col min="7426" max="7426" width="12.125" style="2" customWidth="1"/>
    <col min="7427" max="7427" width="23.375" style="2" customWidth="1"/>
    <col min="7428" max="7428" width="14.625" style="2" customWidth="1"/>
    <col min="7429" max="7680" width="13.375" style="2"/>
    <col min="7681" max="7681" width="13.375" style="2" customWidth="1"/>
    <col min="7682" max="7682" width="12.125" style="2" customWidth="1"/>
    <col min="7683" max="7683" width="23.375" style="2" customWidth="1"/>
    <col min="7684" max="7684" width="14.625" style="2" customWidth="1"/>
    <col min="7685" max="7936" width="13.375" style="2"/>
    <col min="7937" max="7937" width="13.375" style="2" customWidth="1"/>
    <col min="7938" max="7938" width="12.125" style="2" customWidth="1"/>
    <col min="7939" max="7939" width="23.375" style="2" customWidth="1"/>
    <col min="7940" max="7940" width="14.625" style="2" customWidth="1"/>
    <col min="7941" max="8192" width="13.375" style="2"/>
    <col min="8193" max="8193" width="13.375" style="2" customWidth="1"/>
    <col min="8194" max="8194" width="12.125" style="2" customWidth="1"/>
    <col min="8195" max="8195" width="23.375" style="2" customWidth="1"/>
    <col min="8196" max="8196" width="14.625" style="2" customWidth="1"/>
    <col min="8197" max="8448" width="13.375" style="2"/>
    <col min="8449" max="8449" width="13.375" style="2" customWidth="1"/>
    <col min="8450" max="8450" width="12.125" style="2" customWidth="1"/>
    <col min="8451" max="8451" width="23.375" style="2" customWidth="1"/>
    <col min="8452" max="8452" width="14.625" style="2" customWidth="1"/>
    <col min="8453" max="8704" width="13.375" style="2"/>
    <col min="8705" max="8705" width="13.375" style="2" customWidth="1"/>
    <col min="8706" max="8706" width="12.125" style="2" customWidth="1"/>
    <col min="8707" max="8707" width="23.375" style="2" customWidth="1"/>
    <col min="8708" max="8708" width="14.625" style="2" customWidth="1"/>
    <col min="8709" max="8960" width="13.375" style="2"/>
    <col min="8961" max="8961" width="13.375" style="2" customWidth="1"/>
    <col min="8962" max="8962" width="12.125" style="2" customWidth="1"/>
    <col min="8963" max="8963" width="23.375" style="2" customWidth="1"/>
    <col min="8964" max="8964" width="14.625" style="2" customWidth="1"/>
    <col min="8965" max="9216" width="13.375" style="2"/>
    <col min="9217" max="9217" width="13.375" style="2" customWidth="1"/>
    <col min="9218" max="9218" width="12.125" style="2" customWidth="1"/>
    <col min="9219" max="9219" width="23.375" style="2" customWidth="1"/>
    <col min="9220" max="9220" width="14.625" style="2" customWidth="1"/>
    <col min="9221" max="9472" width="13.375" style="2"/>
    <col min="9473" max="9473" width="13.375" style="2" customWidth="1"/>
    <col min="9474" max="9474" width="12.125" style="2" customWidth="1"/>
    <col min="9475" max="9475" width="23.375" style="2" customWidth="1"/>
    <col min="9476" max="9476" width="14.625" style="2" customWidth="1"/>
    <col min="9477" max="9728" width="13.375" style="2"/>
    <col min="9729" max="9729" width="13.375" style="2" customWidth="1"/>
    <col min="9730" max="9730" width="12.125" style="2" customWidth="1"/>
    <col min="9731" max="9731" width="23.375" style="2" customWidth="1"/>
    <col min="9732" max="9732" width="14.625" style="2" customWidth="1"/>
    <col min="9733" max="9984" width="13.375" style="2"/>
    <col min="9985" max="9985" width="13.375" style="2" customWidth="1"/>
    <col min="9986" max="9986" width="12.125" style="2" customWidth="1"/>
    <col min="9987" max="9987" width="23.375" style="2" customWidth="1"/>
    <col min="9988" max="9988" width="14.625" style="2" customWidth="1"/>
    <col min="9989" max="10240" width="13.375" style="2"/>
    <col min="10241" max="10241" width="13.375" style="2" customWidth="1"/>
    <col min="10242" max="10242" width="12.125" style="2" customWidth="1"/>
    <col min="10243" max="10243" width="23.375" style="2" customWidth="1"/>
    <col min="10244" max="10244" width="14.625" style="2" customWidth="1"/>
    <col min="10245" max="10496" width="13.375" style="2"/>
    <col min="10497" max="10497" width="13.375" style="2" customWidth="1"/>
    <col min="10498" max="10498" width="12.125" style="2" customWidth="1"/>
    <col min="10499" max="10499" width="23.375" style="2" customWidth="1"/>
    <col min="10500" max="10500" width="14.625" style="2" customWidth="1"/>
    <col min="10501" max="10752" width="13.375" style="2"/>
    <col min="10753" max="10753" width="13.375" style="2" customWidth="1"/>
    <col min="10754" max="10754" width="12.125" style="2" customWidth="1"/>
    <col min="10755" max="10755" width="23.375" style="2" customWidth="1"/>
    <col min="10756" max="10756" width="14.625" style="2" customWidth="1"/>
    <col min="10757" max="11008" width="13.375" style="2"/>
    <col min="11009" max="11009" width="13.375" style="2" customWidth="1"/>
    <col min="11010" max="11010" width="12.125" style="2" customWidth="1"/>
    <col min="11011" max="11011" width="23.375" style="2" customWidth="1"/>
    <col min="11012" max="11012" width="14.625" style="2" customWidth="1"/>
    <col min="11013" max="11264" width="13.375" style="2"/>
    <col min="11265" max="11265" width="13.375" style="2" customWidth="1"/>
    <col min="11266" max="11266" width="12.125" style="2" customWidth="1"/>
    <col min="11267" max="11267" width="23.375" style="2" customWidth="1"/>
    <col min="11268" max="11268" width="14.625" style="2" customWidth="1"/>
    <col min="11269" max="11520" width="13.375" style="2"/>
    <col min="11521" max="11521" width="13.375" style="2" customWidth="1"/>
    <col min="11522" max="11522" width="12.125" style="2" customWidth="1"/>
    <col min="11523" max="11523" width="23.375" style="2" customWidth="1"/>
    <col min="11524" max="11524" width="14.625" style="2" customWidth="1"/>
    <col min="11525" max="11776" width="13.375" style="2"/>
    <col min="11777" max="11777" width="13.375" style="2" customWidth="1"/>
    <col min="11778" max="11778" width="12.125" style="2" customWidth="1"/>
    <col min="11779" max="11779" width="23.375" style="2" customWidth="1"/>
    <col min="11780" max="11780" width="14.625" style="2" customWidth="1"/>
    <col min="11781" max="12032" width="13.375" style="2"/>
    <col min="12033" max="12033" width="13.375" style="2" customWidth="1"/>
    <col min="12034" max="12034" width="12.125" style="2" customWidth="1"/>
    <col min="12035" max="12035" width="23.375" style="2" customWidth="1"/>
    <col min="12036" max="12036" width="14.625" style="2" customWidth="1"/>
    <col min="12037" max="12288" width="13.375" style="2"/>
    <col min="12289" max="12289" width="13.375" style="2" customWidth="1"/>
    <col min="12290" max="12290" width="12.125" style="2" customWidth="1"/>
    <col min="12291" max="12291" width="23.375" style="2" customWidth="1"/>
    <col min="12292" max="12292" width="14.625" style="2" customWidth="1"/>
    <col min="12293" max="12544" width="13.375" style="2"/>
    <col min="12545" max="12545" width="13.375" style="2" customWidth="1"/>
    <col min="12546" max="12546" width="12.125" style="2" customWidth="1"/>
    <col min="12547" max="12547" width="23.375" style="2" customWidth="1"/>
    <col min="12548" max="12548" width="14.625" style="2" customWidth="1"/>
    <col min="12549" max="12800" width="13.375" style="2"/>
    <col min="12801" max="12801" width="13.375" style="2" customWidth="1"/>
    <col min="12802" max="12802" width="12.125" style="2" customWidth="1"/>
    <col min="12803" max="12803" width="23.375" style="2" customWidth="1"/>
    <col min="12804" max="12804" width="14.625" style="2" customWidth="1"/>
    <col min="12805" max="13056" width="13.375" style="2"/>
    <col min="13057" max="13057" width="13.375" style="2" customWidth="1"/>
    <col min="13058" max="13058" width="12.125" style="2" customWidth="1"/>
    <col min="13059" max="13059" width="23.375" style="2" customWidth="1"/>
    <col min="13060" max="13060" width="14.625" style="2" customWidth="1"/>
    <col min="13061" max="13312" width="13.375" style="2"/>
    <col min="13313" max="13313" width="13.375" style="2" customWidth="1"/>
    <col min="13314" max="13314" width="12.125" style="2" customWidth="1"/>
    <col min="13315" max="13315" width="23.375" style="2" customWidth="1"/>
    <col min="13316" max="13316" width="14.625" style="2" customWidth="1"/>
    <col min="13317" max="13568" width="13.375" style="2"/>
    <col min="13569" max="13569" width="13.375" style="2" customWidth="1"/>
    <col min="13570" max="13570" width="12.125" style="2" customWidth="1"/>
    <col min="13571" max="13571" width="23.375" style="2" customWidth="1"/>
    <col min="13572" max="13572" width="14.625" style="2" customWidth="1"/>
    <col min="13573" max="13824" width="13.375" style="2"/>
    <col min="13825" max="13825" width="13.375" style="2" customWidth="1"/>
    <col min="13826" max="13826" width="12.125" style="2" customWidth="1"/>
    <col min="13827" max="13827" width="23.375" style="2" customWidth="1"/>
    <col min="13828" max="13828" width="14.625" style="2" customWidth="1"/>
    <col min="13829" max="14080" width="13.375" style="2"/>
    <col min="14081" max="14081" width="13.375" style="2" customWidth="1"/>
    <col min="14082" max="14082" width="12.125" style="2" customWidth="1"/>
    <col min="14083" max="14083" width="23.375" style="2" customWidth="1"/>
    <col min="14084" max="14084" width="14.625" style="2" customWidth="1"/>
    <col min="14085" max="14336" width="13.375" style="2"/>
    <col min="14337" max="14337" width="13.375" style="2" customWidth="1"/>
    <col min="14338" max="14338" width="12.125" style="2" customWidth="1"/>
    <col min="14339" max="14339" width="23.375" style="2" customWidth="1"/>
    <col min="14340" max="14340" width="14.625" style="2" customWidth="1"/>
    <col min="14341" max="14592" width="13.375" style="2"/>
    <col min="14593" max="14593" width="13.375" style="2" customWidth="1"/>
    <col min="14594" max="14594" width="12.125" style="2" customWidth="1"/>
    <col min="14595" max="14595" width="23.375" style="2" customWidth="1"/>
    <col min="14596" max="14596" width="14.625" style="2" customWidth="1"/>
    <col min="14597" max="14848" width="13.375" style="2"/>
    <col min="14849" max="14849" width="13.375" style="2" customWidth="1"/>
    <col min="14850" max="14850" width="12.125" style="2" customWidth="1"/>
    <col min="14851" max="14851" width="23.375" style="2" customWidth="1"/>
    <col min="14852" max="14852" width="14.625" style="2" customWidth="1"/>
    <col min="14853" max="15104" width="13.375" style="2"/>
    <col min="15105" max="15105" width="13.375" style="2" customWidth="1"/>
    <col min="15106" max="15106" width="12.125" style="2" customWidth="1"/>
    <col min="15107" max="15107" width="23.375" style="2" customWidth="1"/>
    <col min="15108" max="15108" width="14.625" style="2" customWidth="1"/>
    <col min="15109" max="15360" width="13.375" style="2"/>
    <col min="15361" max="15361" width="13.375" style="2" customWidth="1"/>
    <col min="15362" max="15362" width="12.125" style="2" customWidth="1"/>
    <col min="15363" max="15363" width="23.375" style="2" customWidth="1"/>
    <col min="15364" max="15364" width="14.625" style="2" customWidth="1"/>
    <col min="15365" max="15616" width="13.375" style="2"/>
    <col min="15617" max="15617" width="13.375" style="2" customWidth="1"/>
    <col min="15618" max="15618" width="12.125" style="2" customWidth="1"/>
    <col min="15619" max="15619" width="23.375" style="2" customWidth="1"/>
    <col min="15620" max="15620" width="14.625" style="2" customWidth="1"/>
    <col min="15621" max="15872" width="13.375" style="2"/>
    <col min="15873" max="15873" width="13.375" style="2" customWidth="1"/>
    <col min="15874" max="15874" width="12.125" style="2" customWidth="1"/>
    <col min="15875" max="15875" width="23.375" style="2" customWidth="1"/>
    <col min="15876" max="15876" width="14.625" style="2" customWidth="1"/>
    <col min="15877" max="16128" width="13.375" style="2"/>
    <col min="16129" max="16129" width="13.375" style="2" customWidth="1"/>
    <col min="16130" max="16130" width="12.125" style="2" customWidth="1"/>
    <col min="16131" max="16131" width="23.375" style="2" customWidth="1"/>
    <col min="16132" max="16132" width="14.625" style="2" customWidth="1"/>
    <col min="16133" max="16384" width="13.375" style="2"/>
  </cols>
  <sheetData>
    <row r="1" spans="1:10" x14ac:dyDescent="0.2">
      <c r="A1" s="1"/>
    </row>
    <row r="6" spans="1:10" x14ac:dyDescent="0.2">
      <c r="E6" s="4" t="s">
        <v>362</v>
      </c>
    </row>
    <row r="7" spans="1:10" x14ac:dyDescent="0.2">
      <c r="D7" s="4" t="s">
        <v>363</v>
      </c>
    </row>
    <row r="8" spans="1:10" ht="18" thickBot="1" x14ac:dyDescent="0.25">
      <c r="B8" s="6"/>
      <c r="C8" s="6"/>
      <c r="D8" s="6"/>
      <c r="E8" s="6"/>
      <c r="F8" s="6"/>
      <c r="G8" s="6"/>
      <c r="H8" s="6"/>
      <c r="I8" s="6"/>
      <c r="J8" s="9" t="s">
        <v>364</v>
      </c>
    </row>
    <row r="9" spans="1:10" x14ac:dyDescent="0.2">
      <c r="D9" s="16" t="s">
        <v>365</v>
      </c>
      <c r="E9" s="16" t="s">
        <v>366</v>
      </c>
      <c r="F9" s="16" t="s">
        <v>367</v>
      </c>
      <c r="G9" s="16" t="s">
        <v>230</v>
      </c>
      <c r="H9" s="16" t="s">
        <v>231</v>
      </c>
      <c r="I9" s="16" t="s">
        <v>232</v>
      </c>
      <c r="J9" s="16" t="s">
        <v>233</v>
      </c>
    </row>
    <row r="10" spans="1:10" x14ac:dyDescent="0.2">
      <c r="B10" s="31" t="s">
        <v>368</v>
      </c>
      <c r="C10" s="31" t="s">
        <v>369</v>
      </c>
      <c r="D10" s="29" t="s">
        <v>370</v>
      </c>
      <c r="E10" s="29" t="s">
        <v>371</v>
      </c>
      <c r="F10" s="29" t="s">
        <v>372</v>
      </c>
      <c r="G10" s="29" t="s">
        <v>234</v>
      </c>
      <c r="H10" s="29" t="s">
        <v>235</v>
      </c>
      <c r="I10" s="29" t="s">
        <v>236</v>
      </c>
      <c r="J10" s="29" t="s">
        <v>237</v>
      </c>
    </row>
    <row r="11" spans="1:10" x14ac:dyDescent="0.2">
      <c r="D11" s="10"/>
    </row>
    <row r="12" spans="1:10" x14ac:dyDescent="0.2">
      <c r="B12" s="1" t="s">
        <v>373</v>
      </c>
      <c r="C12" s="1" t="s">
        <v>374</v>
      </c>
      <c r="D12" s="52">
        <v>6.0000000000000001E-3</v>
      </c>
      <c r="E12" s="53">
        <v>4.0000000000000001E-3</v>
      </c>
      <c r="F12" s="54">
        <v>7.0000000000000001E-3</v>
      </c>
      <c r="G12" s="54">
        <v>7.0000000000000001E-3</v>
      </c>
      <c r="H12" s="53">
        <v>7.0000000000000001E-3</v>
      </c>
      <c r="I12" s="53">
        <v>8.0000000000000002E-3</v>
      </c>
      <c r="J12" s="53">
        <v>8.0000000000000002E-3</v>
      </c>
    </row>
    <row r="13" spans="1:10" x14ac:dyDescent="0.2">
      <c r="C13" s="1" t="s">
        <v>375</v>
      </c>
      <c r="D13" s="52">
        <v>5.0000000000000001E-3</v>
      </c>
      <c r="E13" s="53">
        <v>7.0000000000000001E-3</v>
      </c>
      <c r="F13" s="54">
        <v>7.0000000000000001E-3</v>
      </c>
      <c r="G13" s="54">
        <v>6.0000000000000001E-3</v>
      </c>
      <c r="H13" s="53">
        <v>8.0000000000000002E-3</v>
      </c>
      <c r="I13" s="53">
        <v>8.0000000000000002E-3</v>
      </c>
      <c r="J13" s="53">
        <v>6.0000000000000001E-3</v>
      </c>
    </row>
    <row r="14" spans="1:10" x14ac:dyDescent="0.2">
      <c r="C14" s="1" t="s">
        <v>376</v>
      </c>
      <c r="D14" s="52">
        <v>6.0000000000000001E-3</v>
      </c>
      <c r="E14" s="53">
        <v>5.0000000000000001E-3</v>
      </c>
      <c r="F14" s="54">
        <v>6.0000000000000001E-3</v>
      </c>
      <c r="G14" s="54">
        <v>6.0000000000000001E-3</v>
      </c>
      <c r="H14" s="53">
        <v>6.0000000000000001E-3</v>
      </c>
      <c r="I14" s="53">
        <v>7.0000000000000001E-3</v>
      </c>
      <c r="J14" s="53">
        <v>5.0000000000000001E-3</v>
      </c>
    </row>
    <row r="15" spans="1:10" x14ac:dyDescent="0.2">
      <c r="C15" s="1" t="s">
        <v>377</v>
      </c>
      <c r="D15" s="52">
        <v>0.01</v>
      </c>
      <c r="E15" s="53">
        <v>8.9999999999999993E-3</v>
      </c>
      <c r="F15" s="54">
        <v>0.01</v>
      </c>
      <c r="G15" s="54">
        <v>0.01</v>
      </c>
      <c r="H15" s="53">
        <v>1.2E-2</v>
      </c>
      <c r="I15" s="53">
        <v>1.2E-2</v>
      </c>
      <c r="J15" s="53">
        <v>1.0999999999999999E-2</v>
      </c>
    </row>
    <row r="16" spans="1:10" x14ac:dyDescent="0.2">
      <c r="C16" s="1" t="s">
        <v>378</v>
      </c>
      <c r="D16" s="52">
        <v>7.0000000000000001E-3</v>
      </c>
      <c r="E16" s="53">
        <v>8.0000000000000002E-3</v>
      </c>
      <c r="F16" s="54">
        <v>7.0000000000000001E-3</v>
      </c>
      <c r="G16" s="54">
        <v>8.0000000000000002E-3</v>
      </c>
      <c r="H16" s="53">
        <v>7.0000000000000001E-3</v>
      </c>
      <c r="I16" s="53">
        <v>8.0000000000000002E-3</v>
      </c>
      <c r="J16" s="53">
        <v>8.0000000000000002E-3</v>
      </c>
    </row>
    <row r="17" spans="2:10" x14ac:dyDescent="0.2">
      <c r="C17" s="1" t="s">
        <v>379</v>
      </c>
      <c r="D17" s="52">
        <v>7.0000000000000001E-3</v>
      </c>
      <c r="E17" s="53">
        <v>7.0000000000000001E-3</v>
      </c>
      <c r="F17" s="54">
        <v>7.0000000000000001E-3</v>
      </c>
      <c r="G17" s="54">
        <v>7.0000000000000001E-3</v>
      </c>
      <c r="H17" s="53">
        <v>6.0000000000000001E-3</v>
      </c>
      <c r="I17" s="53">
        <v>6.0000000000000001E-3</v>
      </c>
      <c r="J17" s="53">
        <v>6.0000000000000001E-3</v>
      </c>
    </row>
    <row r="18" spans="2:10" x14ac:dyDescent="0.2">
      <c r="C18" s="1" t="s">
        <v>380</v>
      </c>
      <c r="D18" s="52">
        <v>4.0000000000000001E-3</v>
      </c>
      <c r="E18" s="53">
        <v>5.0000000000000001E-3</v>
      </c>
      <c r="F18" s="54">
        <v>5.0000000000000001E-3</v>
      </c>
      <c r="G18" s="54">
        <v>5.0000000000000001E-3</v>
      </c>
      <c r="H18" s="53">
        <v>6.0000000000000001E-3</v>
      </c>
      <c r="I18" s="53">
        <v>5.0000000000000001E-3</v>
      </c>
      <c r="J18" s="53">
        <v>5.0000000000000001E-3</v>
      </c>
    </row>
    <row r="19" spans="2:10" x14ac:dyDescent="0.2">
      <c r="C19" s="1" t="s">
        <v>381</v>
      </c>
      <c r="D19" s="52">
        <v>4.0000000000000001E-3</v>
      </c>
      <c r="E19" s="53">
        <v>4.0000000000000001E-3</v>
      </c>
      <c r="F19" s="54">
        <v>4.0000000000000001E-3</v>
      </c>
      <c r="G19" s="54">
        <v>5.0000000000000001E-3</v>
      </c>
      <c r="H19" s="53">
        <v>5.0000000000000001E-3</v>
      </c>
      <c r="I19" s="53">
        <v>4.0000000000000001E-3</v>
      </c>
      <c r="J19" s="53">
        <v>4.0000000000000001E-3</v>
      </c>
    </row>
    <row r="20" spans="2:10" x14ac:dyDescent="0.2">
      <c r="D20" s="10"/>
    </row>
    <row r="21" spans="2:10" x14ac:dyDescent="0.2">
      <c r="B21" s="1" t="s">
        <v>382</v>
      </c>
      <c r="C21" s="1" t="s">
        <v>383</v>
      </c>
      <c r="D21" s="52">
        <v>8.0000000000000002E-3</v>
      </c>
      <c r="E21" s="53">
        <v>7.0000000000000001E-3</v>
      </c>
      <c r="F21" s="54">
        <v>7.0000000000000001E-3</v>
      </c>
      <c r="G21" s="54">
        <v>6.0000000000000001E-3</v>
      </c>
      <c r="H21" s="53">
        <v>6.0000000000000001E-3</v>
      </c>
      <c r="I21" s="53">
        <v>5.0000000000000001E-3</v>
      </c>
      <c r="J21" s="53">
        <v>5.0000000000000001E-3</v>
      </c>
    </row>
    <row r="22" spans="2:10" x14ac:dyDescent="0.2">
      <c r="C22" s="1" t="s">
        <v>384</v>
      </c>
      <c r="D22" s="52">
        <v>4.0000000000000001E-3</v>
      </c>
      <c r="E22" s="53">
        <v>4.0000000000000001E-3</v>
      </c>
      <c r="F22" s="54">
        <v>5.0000000000000001E-3</v>
      </c>
      <c r="G22" s="54">
        <v>4.0000000000000001E-3</v>
      </c>
      <c r="H22" s="53">
        <v>4.0000000000000001E-3</v>
      </c>
      <c r="I22" s="53">
        <v>3.0000000000000001E-3</v>
      </c>
      <c r="J22" s="53">
        <v>2E-3</v>
      </c>
    </row>
    <row r="23" spans="2:10" x14ac:dyDescent="0.2">
      <c r="C23" s="1" t="s">
        <v>385</v>
      </c>
      <c r="D23" s="52">
        <v>3.0000000000000001E-3</v>
      </c>
      <c r="E23" s="53">
        <v>3.0000000000000001E-3</v>
      </c>
      <c r="F23" s="54">
        <v>3.0000000000000001E-3</v>
      </c>
      <c r="G23" s="54">
        <v>2E-3</v>
      </c>
      <c r="H23" s="53">
        <v>4.0000000000000001E-3</v>
      </c>
      <c r="I23" s="53">
        <v>4.0000000000000001E-3</v>
      </c>
      <c r="J23" s="53">
        <v>3.0000000000000001E-3</v>
      </c>
    </row>
    <row r="24" spans="2:10" x14ac:dyDescent="0.2">
      <c r="B24" s="1" t="s">
        <v>386</v>
      </c>
      <c r="C24" s="1" t="s">
        <v>387</v>
      </c>
      <c r="D24" s="52">
        <v>6.0000000000000001E-3</v>
      </c>
      <c r="E24" s="53">
        <v>6.0000000000000001E-3</v>
      </c>
      <c r="F24" s="54">
        <v>5.0000000000000001E-3</v>
      </c>
      <c r="G24" s="54">
        <v>5.0000000000000001E-3</v>
      </c>
      <c r="H24" s="53">
        <v>6.0000000000000001E-3</v>
      </c>
      <c r="I24" s="53">
        <v>5.0000000000000001E-3</v>
      </c>
      <c r="J24" s="53">
        <v>5.0000000000000001E-3</v>
      </c>
    </row>
    <row r="25" spans="2:10" x14ac:dyDescent="0.2">
      <c r="C25" s="1" t="s">
        <v>388</v>
      </c>
      <c r="D25" s="52">
        <v>4.0000000000000001E-3</v>
      </c>
      <c r="E25" s="53">
        <v>5.0000000000000001E-3</v>
      </c>
      <c r="F25" s="54">
        <v>5.0000000000000001E-3</v>
      </c>
      <c r="G25" s="54">
        <v>5.0000000000000001E-3</v>
      </c>
      <c r="H25" s="53">
        <v>5.0000000000000001E-3</v>
      </c>
      <c r="I25" s="53">
        <v>3.0000000000000001E-3</v>
      </c>
      <c r="J25" s="53">
        <v>2E-3</v>
      </c>
    </row>
    <row r="26" spans="2:10" x14ac:dyDescent="0.2">
      <c r="B26" s="1" t="s">
        <v>389</v>
      </c>
      <c r="C26" s="1" t="s">
        <v>390</v>
      </c>
      <c r="D26" s="52">
        <v>0.01</v>
      </c>
      <c r="E26" s="53">
        <v>1.0999999999999999E-2</v>
      </c>
      <c r="F26" s="54">
        <v>8.9999999999999993E-3</v>
      </c>
      <c r="G26" s="54">
        <v>0.01</v>
      </c>
      <c r="H26" s="53">
        <v>8.0000000000000002E-3</v>
      </c>
      <c r="I26" s="53">
        <v>8.9999999999999993E-3</v>
      </c>
      <c r="J26" s="53">
        <v>8.0000000000000002E-3</v>
      </c>
    </row>
    <row r="27" spans="2:10" x14ac:dyDescent="0.2">
      <c r="C27" s="1" t="s">
        <v>391</v>
      </c>
      <c r="D27" s="52">
        <v>5.0000000000000001E-3</v>
      </c>
      <c r="E27" s="53">
        <v>5.0000000000000001E-3</v>
      </c>
      <c r="F27" s="54">
        <v>4.0000000000000001E-3</v>
      </c>
      <c r="G27" s="54">
        <v>4.0000000000000001E-3</v>
      </c>
      <c r="H27" s="53">
        <v>5.0000000000000001E-3</v>
      </c>
      <c r="I27" s="53">
        <v>5.0000000000000001E-3</v>
      </c>
      <c r="J27" s="53">
        <v>4.0000000000000001E-3</v>
      </c>
    </row>
    <row r="28" spans="2:10" x14ac:dyDescent="0.2">
      <c r="B28" s="1" t="s">
        <v>392</v>
      </c>
      <c r="C28" s="1" t="s">
        <v>393</v>
      </c>
      <c r="D28" s="52">
        <v>3.0000000000000001E-3</v>
      </c>
      <c r="E28" s="53">
        <v>4.0000000000000001E-3</v>
      </c>
      <c r="F28" s="54">
        <v>4.0000000000000001E-3</v>
      </c>
      <c r="G28" s="54">
        <v>4.0000000000000001E-3</v>
      </c>
      <c r="H28" s="53">
        <v>4.0000000000000001E-3</v>
      </c>
      <c r="I28" s="53">
        <v>4.0000000000000001E-3</v>
      </c>
      <c r="J28" s="53">
        <v>4.0000000000000001E-3</v>
      </c>
    </row>
    <row r="29" spans="2:10" x14ac:dyDescent="0.2">
      <c r="B29" s="1" t="s">
        <v>394</v>
      </c>
      <c r="C29" s="1" t="s">
        <v>395</v>
      </c>
      <c r="D29" s="52">
        <v>5.0000000000000001E-3</v>
      </c>
      <c r="E29" s="53">
        <v>5.0000000000000001E-3</v>
      </c>
      <c r="F29" s="54">
        <v>5.0000000000000001E-3</v>
      </c>
      <c r="G29" s="54">
        <v>4.0000000000000001E-3</v>
      </c>
      <c r="H29" s="53">
        <v>4.0000000000000001E-3</v>
      </c>
      <c r="I29" s="53">
        <v>4.0000000000000001E-3</v>
      </c>
      <c r="J29" s="53">
        <v>2E-3</v>
      </c>
    </row>
    <row r="30" spans="2:10" x14ac:dyDescent="0.2">
      <c r="D30" s="10"/>
    </row>
    <row r="31" spans="2:10" x14ac:dyDescent="0.2">
      <c r="B31" s="1" t="s">
        <v>396</v>
      </c>
      <c r="C31" s="1" t="s">
        <v>397</v>
      </c>
      <c r="D31" s="52">
        <v>5.0000000000000001E-3</v>
      </c>
      <c r="E31" s="53">
        <v>5.0000000000000001E-3</v>
      </c>
      <c r="F31" s="54">
        <v>5.0000000000000001E-3</v>
      </c>
      <c r="G31" s="54">
        <v>5.0000000000000001E-3</v>
      </c>
      <c r="H31" s="53">
        <v>5.0000000000000001E-3</v>
      </c>
      <c r="I31" s="53">
        <v>4.0000000000000001E-3</v>
      </c>
      <c r="J31" s="53">
        <v>5.0000000000000001E-3</v>
      </c>
    </row>
    <row r="32" spans="2:10" x14ac:dyDescent="0.2">
      <c r="B32" s="1" t="s">
        <v>398</v>
      </c>
      <c r="C32" s="1" t="s">
        <v>399</v>
      </c>
      <c r="D32" s="52">
        <v>4.0000000000000001E-3</v>
      </c>
      <c r="E32" s="53">
        <v>4.0000000000000001E-3</v>
      </c>
      <c r="F32" s="54">
        <v>4.0000000000000001E-3</v>
      </c>
      <c r="G32" s="54">
        <v>4.0000000000000001E-3</v>
      </c>
      <c r="H32" s="53">
        <v>4.0000000000000001E-3</v>
      </c>
      <c r="I32" s="53">
        <v>4.0000000000000001E-3</v>
      </c>
      <c r="J32" s="53">
        <v>4.0000000000000001E-3</v>
      </c>
    </row>
    <row r="33" spans="2:10" x14ac:dyDescent="0.2">
      <c r="C33" s="1" t="s">
        <v>400</v>
      </c>
      <c r="D33" s="52">
        <v>6.0000000000000001E-3</v>
      </c>
      <c r="E33" s="53">
        <v>6.0000000000000001E-3</v>
      </c>
      <c r="F33" s="54">
        <v>5.0000000000000001E-3</v>
      </c>
      <c r="G33" s="54">
        <v>5.0000000000000001E-3</v>
      </c>
      <c r="H33" s="53">
        <v>5.0000000000000001E-3</v>
      </c>
      <c r="I33" s="53">
        <v>5.0000000000000001E-3</v>
      </c>
      <c r="J33" s="53">
        <v>5.0000000000000001E-3</v>
      </c>
    </row>
    <row r="34" spans="2:10" x14ac:dyDescent="0.2">
      <c r="B34" s="1" t="s">
        <v>401</v>
      </c>
      <c r="C34" s="1" t="s">
        <v>402</v>
      </c>
      <c r="D34" s="52">
        <v>6.0000000000000001E-3</v>
      </c>
      <c r="E34" s="53">
        <v>6.0000000000000001E-3</v>
      </c>
      <c r="F34" s="54">
        <v>6.0000000000000001E-3</v>
      </c>
      <c r="G34" s="54">
        <v>5.0000000000000001E-3</v>
      </c>
      <c r="H34" s="53">
        <v>5.0000000000000001E-3</v>
      </c>
      <c r="I34" s="53">
        <v>4.0000000000000001E-3</v>
      </c>
      <c r="J34" s="53">
        <v>4.0000000000000001E-3</v>
      </c>
    </row>
    <row r="35" spans="2:10" x14ac:dyDescent="0.2">
      <c r="C35" s="1" t="s">
        <v>403</v>
      </c>
      <c r="D35" s="52">
        <v>4.0000000000000001E-3</v>
      </c>
      <c r="E35" s="53">
        <v>4.0000000000000001E-3</v>
      </c>
      <c r="F35" s="54">
        <v>5.0000000000000001E-3</v>
      </c>
      <c r="G35" s="54">
        <v>5.0000000000000001E-3</v>
      </c>
      <c r="H35" s="53">
        <v>4.0000000000000001E-3</v>
      </c>
      <c r="I35" s="53">
        <v>5.0000000000000001E-3</v>
      </c>
      <c r="J35" s="53">
        <v>4.0000000000000001E-3</v>
      </c>
    </row>
    <row r="36" spans="2:10" x14ac:dyDescent="0.2">
      <c r="C36" s="1" t="s">
        <v>404</v>
      </c>
      <c r="D36" s="52">
        <v>5.0000000000000001E-3</v>
      </c>
      <c r="E36" s="53">
        <v>5.0000000000000001E-3</v>
      </c>
      <c r="F36" s="54">
        <v>5.0000000000000001E-3</v>
      </c>
      <c r="G36" s="54">
        <v>5.0000000000000001E-3</v>
      </c>
      <c r="H36" s="53">
        <v>5.0000000000000001E-3</v>
      </c>
      <c r="I36" s="53">
        <v>5.0000000000000001E-3</v>
      </c>
      <c r="J36" s="53">
        <v>5.0000000000000001E-3</v>
      </c>
    </row>
    <row r="37" spans="2:10" x14ac:dyDescent="0.2">
      <c r="C37" s="1" t="s">
        <v>405</v>
      </c>
      <c r="D37" s="52">
        <v>5.0000000000000001E-3</v>
      </c>
      <c r="E37" s="53">
        <v>5.0000000000000001E-3</v>
      </c>
      <c r="F37" s="54">
        <v>5.0000000000000001E-3</v>
      </c>
      <c r="G37" s="54">
        <v>5.0000000000000001E-3</v>
      </c>
      <c r="H37" s="53">
        <v>5.0000000000000001E-3</v>
      </c>
      <c r="I37" s="53">
        <v>5.0000000000000001E-3</v>
      </c>
      <c r="J37" s="53">
        <v>5.0000000000000001E-3</v>
      </c>
    </row>
    <row r="38" spans="2:10" x14ac:dyDescent="0.2">
      <c r="B38" s="1" t="s">
        <v>406</v>
      </c>
      <c r="C38" s="1" t="s">
        <v>407</v>
      </c>
      <c r="D38" s="52">
        <v>4.0000000000000001E-3</v>
      </c>
      <c r="E38" s="53">
        <v>4.0000000000000001E-3</v>
      </c>
      <c r="F38" s="54">
        <v>6.0000000000000001E-3</v>
      </c>
      <c r="G38" s="54">
        <v>5.0000000000000001E-3</v>
      </c>
      <c r="H38" s="53">
        <v>4.0000000000000001E-3</v>
      </c>
      <c r="I38" s="53">
        <v>4.0000000000000001E-3</v>
      </c>
      <c r="J38" s="53">
        <v>3.0000000000000001E-3</v>
      </c>
    </row>
    <row r="39" spans="2:10" x14ac:dyDescent="0.2">
      <c r="B39" s="1" t="s">
        <v>408</v>
      </c>
      <c r="C39" s="1" t="s">
        <v>409</v>
      </c>
      <c r="D39" s="52">
        <v>4.0000000000000001E-3</v>
      </c>
      <c r="E39" s="53">
        <v>4.0000000000000001E-3</v>
      </c>
      <c r="F39" s="54">
        <v>4.0000000000000001E-3</v>
      </c>
      <c r="G39" s="54">
        <v>4.0000000000000001E-3</v>
      </c>
      <c r="H39" s="53">
        <v>4.0000000000000001E-3</v>
      </c>
      <c r="I39" s="53">
        <v>3.0000000000000001E-3</v>
      </c>
      <c r="J39" s="53">
        <v>3.0000000000000001E-3</v>
      </c>
    </row>
    <row r="40" spans="2:10" x14ac:dyDescent="0.2">
      <c r="B40" s="1" t="s">
        <v>410</v>
      </c>
      <c r="C40" s="1" t="s">
        <v>411</v>
      </c>
      <c r="D40" s="52">
        <v>5.0000000000000001E-3</v>
      </c>
      <c r="E40" s="53">
        <v>4.0000000000000001E-3</v>
      </c>
      <c r="F40" s="54">
        <v>5.0000000000000001E-3</v>
      </c>
      <c r="G40" s="54">
        <v>5.0000000000000001E-3</v>
      </c>
      <c r="H40" s="53">
        <v>4.0000000000000001E-3</v>
      </c>
      <c r="I40" s="53">
        <v>3.0000000000000001E-3</v>
      </c>
      <c r="J40" s="53">
        <v>3.0000000000000001E-3</v>
      </c>
    </row>
    <row r="41" spans="2:10" ht="18" thickBot="1" x14ac:dyDescent="0.25">
      <c r="B41" s="6"/>
      <c r="C41" s="6"/>
      <c r="D41" s="55"/>
      <c r="E41" s="56"/>
      <c r="F41" s="56"/>
      <c r="G41" s="56"/>
      <c r="H41" s="6"/>
      <c r="I41" s="6"/>
      <c r="J41" s="6"/>
    </row>
    <row r="42" spans="2:10" x14ac:dyDescent="0.2">
      <c r="D42" s="1" t="s">
        <v>313</v>
      </c>
    </row>
    <row r="44" spans="2:10" x14ac:dyDescent="0.2">
      <c r="D44" s="4" t="s">
        <v>412</v>
      </c>
    </row>
    <row r="45" spans="2:10" ht="18" thickBot="1" x14ac:dyDescent="0.25">
      <c r="B45" s="6"/>
      <c r="C45" s="6"/>
      <c r="D45" s="6"/>
      <c r="E45" s="6"/>
      <c r="F45" s="6"/>
      <c r="G45" s="6"/>
      <c r="H45" s="7" t="s">
        <v>413</v>
      </c>
      <c r="I45" s="6"/>
      <c r="J45" s="6"/>
    </row>
    <row r="46" spans="2:10" x14ac:dyDescent="0.2">
      <c r="D46" s="16" t="s">
        <v>365</v>
      </c>
      <c r="E46" s="16" t="s">
        <v>366</v>
      </c>
      <c r="F46" s="16" t="s">
        <v>367</v>
      </c>
      <c r="G46" s="16" t="s">
        <v>230</v>
      </c>
      <c r="H46" s="16" t="s">
        <v>231</v>
      </c>
      <c r="I46" s="16" t="s">
        <v>232</v>
      </c>
      <c r="J46" s="16" t="s">
        <v>233</v>
      </c>
    </row>
    <row r="47" spans="2:10" x14ac:dyDescent="0.2">
      <c r="B47" s="31" t="s">
        <v>368</v>
      </c>
      <c r="C47" s="31" t="s">
        <v>369</v>
      </c>
      <c r="D47" s="29" t="s">
        <v>370</v>
      </c>
      <c r="E47" s="29" t="s">
        <v>371</v>
      </c>
      <c r="F47" s="29" t="s">
        <v>372</v>
      </c>
      <c r="G47" s="29" t="s">
        <v>234</v>
      </c>
      <c r="H47" s="29" t="s">
        <v>235</v>
      </c>
      <c r="I47" s="29" t="s">
        <v>236</v>
      </c>
      <c r="J47" s="29" t="s">
        <v>237</v>
      </c>
    </row>
    <row r="48" spans="2:10" x14ac:dyDescent="0.2">
      <c r="D48" s="10"/>
    </row>
    <row r="49" spans="2:10" x14ac:dyDescent="0.2">
      <c r="B49" s="1" t="s">
        <v>414</v>
      </c>
      <c r="C49" s="1" t="s">
        <v>415</v>
      </c>
      <c r="D49" s="57">
        <v>0.09</v>
      </c>
      <c r="E49" s="58">
        <v>0.08</v>
      </c>
      <c r="F49" s="59">
        <v>7.0000000000000007E-2</v>
      </c>
      <c r="G49" s="59">
        <v>7.0000000000000007E-2</v>
      </c>
      <c r="H49" s="58">
        <v>7.0000000000000007E-2</v>
      </c>
      <c r="I49" s="58">
        <v>0.06</v>
      </c>
      <c r="J49" s="58">
        <v>0.05</v>
      </c>
    </row>
    <row r="50" spans="2:10" x14ac:dyDescent="0.2">
      <c r="C50" s="1" t="s">
        <v>416</v>
      </c>
      <c r="D50" s="57">
        <v>7.0000000000000007E-2</v>
      </c>
      <c r="E50" s="58">
        <v>0.06</v>
      </c>
      <c r="F50" s="59">
        <v>0.05</v>
      </c>
      <c r="G50" s="59">
        <v>0.05</v>
      </c>
      <c r="H50" s="58">
        <v>0.05</v>
      </c>
      <c r="I50" s="58">
        <v>0.05</v>
      </c>
      <c r="J50" s="58">
        <v>0.06</v>
      </c>
    </row>
    <row r="51" spans="2:10" x14ac:dyDescent="0.2">
      <c r="B51" s="1" t="s">
        <v>417</v>
      </c>
      <c r="C51" s="1" t="s">
        <v>418</v>
      </c>
      <c r="D51" s="57">
        <v>0.13</v>
      </c>
      <c r="E51" s="58">
        <v>0.13</v>
      </c>
      <c r="F51" s="59">
        <v>0.1</v>
      </c>
      <c r="G51" s="59">
        <v>0.1</v>
      </c>
      <c r="H51" s="58">
        <v>0.1</v>
      </c>
      <c r="I51" s="58">
        <v>0.1</v>
      </c>
      <c r="J51" s="58">
        <v>0.09</v>
      </c>
    </row>
    <row r="52" spans="2:10" x14ac:dyDescent="0.2">
      <c r="C52" s="1" t="s">
        <v>419</v>
      </c>
      <c r="D52" s="57">
        <v>0.14000000000000001</v>
      </c>
      <c r="E52" s="58">
        <v>0.14000000000000001</v>
      </c>
      <c r="F52" s="59">
        <v>0.11</v>
      </c>
      <c r="G52" s="59">
        <v>0.11</v>
      </c>
      <c r="H52" s="58">
        <v>0.12</v>
      </c>
      <c r="I52" s="58">
        <v>0.1</v>
      </c>
      <c r="J52" s="58">
        <v>0.09</v>
      </c>
    </row>
    <row r="53" spans="2:10" x14ac:dyDescent="0.2">
      <c r="D53" s="10"/>
    </row>
    <row r="54" spans="2:10" x14ac:dyDescent="0.2">
      <c r="B54" s="1" t="s">
        <v>420</v>
      </c>
      <c r="C54" s="1" t="s">
        <v>421</v>
      </c>
      <c r="D54" s="57">
        <v>0.09</v>
      </c>
      <c r="E54" s="58">
        <v>0.1</v>
      </c>
      <c r="F54" s="59">
        <v>0.08</v>
      </c>
      <c r="G54" s="59">
        <v>0.08</v>
      </c>
      <c r="H54" s="58">
        <v>0.08</v>
      </c>
      <c r="I54" s="58">
        <v>0.08</v>
      </c>
      <c r="J54" s="58">
        <v>0.09</v>
      </c>
    </row>
    <row r="55" spans="2:10" x14ac:dyDescent="0.2">
      <c r="C55" s="1" t="s">
        <v>422</v>
      </c>
      <c r="D55" s="57">
        <v>0.08</v>
      </c>
      <c r="E55" s="58">
        <v>0.09</v>
      </c>
      <c r="F55" s="59">
        <v>0.08</v>
      </c>
      <c r="G55" s="59">
        <v>0.08</v>
      </c>
      <c r="H55" s="58">
        <v>0.08</v>
      </c>
      <c r="I55" s="58">
        <v>0.08</v>
      </c>
      <c r="J55" s="58">
        <v>0.08</v>
      </c>
    </row>
    <row r="56" spans="2:10" x14ac:dyDescent="0.2">
      <c r="B56" s="1" t="s">
        <v>423</v>
      </c>
      <c r="C56" s="1" t="s">
        <v>424</v>
      </c>
      <c r="D56" s="57">
        <v>0.09</v>
      </c>
      <c r="E56" s="58">
        <v>0.09</v>
      </c>
      <c r="F56" s="59">
        <v>0.08</v>
      </c>
      <c r="G56" s="59">
        <v>0.08</v>
      </c>
      <c r="H56" s="58">
        <v>0.08</v>
      </c>
      <c r="I56" s="58">
        <v>0.08</v>
      </c>
      <c r="J56" s="58">
        <v>0.06</v>
      </c>
    </row>
    <row r="57" spans="2:10" x14ac:dyDescent="0.2">
      <c r="C57" s="1" t="s">
        <v>425</v>
      </c>
      <c r="D57" s="57">
        <v>0.08</v>
      </c>
      <c r="E57" s="58">
        <v>0.09</v>
      </c>
      <c r="F57" s="59">
        <v>0.08</v>
      </c>
      <c r="G57" s="59">
        <v>0.08</v>
      </c>
      <c r="H57" s="58">
        <v>7.0000000000000007E-2</v>
      </c>
      <c r="I57" s="58">
        <v>0.08</v>
      </c>
      <c r="J57" s="58">
        <v>0.08</v>
      </c>
    </row>
    <row r="58" spans="2:10" x14ac:dyDescent="0.2">
      <c r="D58" s="10"/>
    </row>
    <row r="59" spans="2:10" x14ac:dyDescent="0.2">
      <c r="B59" s="1" t="s">
        <v>426</v>
      </c>
      <c r="C59" s="1" t="s">
        <v>427</v>
      </c>
      <c r="D59" s="57">
        <v>0.05</v>
      </c>
      <c r="E59" s="58">
        <v>0.05</v>
      </c>
      <c r="F59" s="59">
        <v>0.05</v>
      </c>
      <c r="G59" s="59">
        <v>0.05</v>
      </c>
      <c r="H59" s="58">
        <v>0.04</v>
      </c>
      <c r="I59" s="58">
        <v>0.03</v>
      </c>
      <c r="J59" s="58">
        <v>0.04</v>
      </c>
    </row>
    <row r="60" spans="2:10" x14ac:dyDescent="0.2">
      <c r="C60" s="1" t="s">
        <v>428</v>
      </c>
      <c r="D60" s="57">
        <v>0.09</v>
      </c>
      <c r="E60" s="58">
        <v>0.08</v>
      </c>
      <c r="F60" s="59">
        <v>7.0000000000000007E-2</v>
      </c>
      <c r="G60" s="59">
        <v>7.0000000000000007E-2</v>
      </c>
      <c r="H60" s="58">
        <v>0.06</v>
      </c>
      <c r="I60" s="58">
        <v>0.05</v>
      </c>
      <c r="J60" s="58">
        <v>0.06</v>
      </c>
    </row>
    <row r="61" spans="2:10" x14ac:dyDescent="0.2">
      <c r="B61" s="1" t="s">
        <v>429</v>
      </c>
      <c r="C61" s="1" t="s">
        <v>430</v>
      </c>
      <c r="D61" s="57">
        <v>0.06</v>
      </c>
      <c r="E61" s="58">
        <v>0.06</v>
      </c>
      <c r="F61" s="59">
        <v>0.05</v>
      </c>
      <c r="G61" s="59">
        <v>0.03</v>
      </c>
      <c r="H61" s="58">
        <v>0.03</v>
      </c>
      <c r="I61" s="58">
        <v>0.02</v>
      </c>
      <c r="J61" s="58">
        <v>0.03</v>
      </c>
    </row>
    <row r="62" spans="2:10" x14ac:dyDescent="0.2">
      <c r="C62" s="1" t="s">
        <v>431</v>
      </c>
      <c r="D62" s="57">
        <v>7.0000000000000007E-2</v>
      </c>
      <c r="E62" s="58">
        <v>0.06</v>
      </c>
      <c r="F62" s="59">
        <v>0.06</v>
      </c>
      <c r="G62" s="59">
        <v>0.06</v>
      </c>
      <c r="H62" s="58">
        <v>0.04</v>
      </c>
      <c r="I62" s="58">
        <v>0.04</v>
      </c>
      <c r="J62" s="58">
        <v>7.0000000000000007E-2</v>
      </c>
    </row>
    <row r="63" spans="2:10" x14ac:dyDescent="0.2">
      <c r="B63" s="1" t="s">
        <v>432</v>
      </c>
      <c r="C63" s="1" t="s">
        <v>433</v>
      </c>
      <c r="D63" s="57">
        <v>0.12</v>
      </c>
      <c r="E63" s="58">
        <v>0.1</v>
      </c>
      <c r="F63" s="59">
        <v>0.1</v>
      </c>
      <c r="G63" s="59">
        <v>0.1</v>
      </c>
      <c r="H63" s="58">
        <v>0.09</v>
      </c>
      <c r="I63" s="58">
        <v>0.06</v>
      </c>
      <c r="J63" s="58">
        <v>7.0000000000000007E-2</v>
      </c>
    </row>
    <row r="64" spans="2:10" x14ac:dyDescent="0.2">
      <c r="C64" s="1" t="s">
        <v>434</v>
      </c>
      <c r="D64" s="57">
        <v>0.05</v>
      </c>
      <c r="E64" s="58">
        <v>0.05</v>
      </c>
      <c r="F64" s="59">
        <v>0.03</v>
      </c>
      <c r="G64" s="59">
        <v>0.03</v>
      </c>
      <c r="H64" s="58">
        <v>0.04</v>
      </c>
      <c r="I64" s="58">
        <v>0.04</v>
      </c>
      <c r="J64" s="58">
        <v>0.03</v>
      </c>
    </row>
    <row r="65" spans="1:10" x14ac:dyDescent="0.2">
      <c r="D65" s="10"/>
    </row>
    <row r="66" spans="1:10" x14ac:dyDescent="0.2">
      <c r="B66" s="1" t="s">
        <v>435</v>
      </c>
      <c r="C66" s="1" t="s">
        <v>436</v>
      </c>
      <c r="D66" s="57">
        <v>0.06</v>
      </c>
      <c r="E66" s="58">
        <v>0.05</v>
      </c>
      <c r="F66" s="59">
        <v>0.06</v>
      </c>
      <c r="G66" s="59">
        <v>0.06</v>
      </c>
      <c r="H66" s="58">
        <v>0.05</v>
      </c>
      <c r="I66" s="58">
        <v>0.04</v>
      </c>
      <c r="J66" s="58">
        <v>0.05</v>
      </c>
    </row>
    <row r="67" spans="1:10" x14ac:dyDescent="0.2">
      <c r="C67" s="1" t="s">
        <v>437</v>
      </c>
      <c r="D67" s="57">
        <v>0.1</v>
      </c>
      <c r="E67" s="58">
        <v>0.08</v>
      </c>
      <c r="F67" s="59">
        <v>0.08</v>
      </c>
      <c r="G67" s="59">
        <v>0.08</v>
      </c>
      <c r="H67" s="58">
        <v>7.0000000000000007E-2</v>
      </c>
      <c r="I67" s="58">
        <v>0.06</v>
      </c>
      <c r="J67" s="58">
        <v>0.06</v>
      </c>
    </row>
    <row r="68" spans="1:10" x14ac:dyDescent="0.2">
      <c r="B68" s="1" t="s">
        <v>438</v>
      </c>
      <c r="C68" s="1" t="s">
        <v>439</v>
      </c>
      <c r="D68" s="57">
        <v>0.1</v>
      </c>
      <c r="E68" s="58">
        <v>0.09</v>
      </c>
      <c r="F68" s="59">
        <v>0.08</v>
      </c>
      <c r="G68" s="59">
        <v>0.08</v>
      </c>
      <c r="H68" s="58">
        <v>0.08</v>
      </c>
      <c r="I68" s="58">
        <v>0.08</v>
      </c>
      <c r="J68" s="58">
        <v>0.06</v>
      </c>
    </row>
    <row r="69" spans="1:10" x14ac:dyDescent="0.2">
      <c r="C69" s="1" t="s">
        <v>440</v>
      </c>
      <c r="D69" s="57">
        <v>0.09</v>
      </c>
      <c r="E69" s="58">
        <v>0.12</v>
      </c>
      <c r="F69" s="59">
        <v>7.0000000000000007E-2</v>
      </c>
      <c r="G69" s="59">
        <v>7.0000000000000007E-2</v>
      </c>
      <c r="H69" s="58">
        <v>0.09</v>
      </c>
      <c r="I69" s="58">
        <v>0.09</v>
      </c>
      <c r="J69" s="58">
        <v>7.0000000000000007E-2</v>
      </c>
    </row>
    <row r="70" spans="1:10" x14ac:dyDescent="0.2">
      <c r="C70" s="1" t="s">
        <v>441</v>
      </c>
      <c r="D70" s="57">
        <v>0.08</v>
      </c>
      <c r="E70" s="58">
        <v>7.0000000000000007E-2</v>
      </c>
      <c r="F70" s="59">
        <v>0.05</v>
      </c>
      <c r="G70" s="59">
        <v>0.05</v>
      </c>
      <c r="H70" s="58">
        <v>0.04</v>
      </c>
      <c r="I70" s="58">
        <v>0.06</v>
      </c>
      <c r="J70" s="58">
        <v>0.05</v>
      </c>
    </row>
    <row r="71" spans="1:10" ht="18" thickBot="1" x14ac:dyDescent="0.25">
      <c r="B71" s="6"/>
      <c r="C71" s="6"/>
      <c r="D71" s="60"/>
      <c r="E71" s="61"/>
      <c r="F71" s="61"/>
      <c r="G71" s="6"/>
      <c r="H71" s="6"/>
      <c r="I71" s="6"/>
      <c r="J71" s="6"/>
    </row>
    <row r="72" spans="1:10" x14ac:dyDescent="0.2">
      <c r="D72" s="1" t="s">
        <v>313</v>
      </c>
    </row>
    <row r="73" spans="1:10" x14ac:dyDescent="0.2">
      <c r="A73" s="1"/>
    </row>
    <row r="74" spans="1:10" x14ac:dyDescent="0.2">
      <c r="A74" s="1"/>
    </row>
    <row r="79" spans="1:10" x14ac:dyDescent="0.2">
      <c r="E79" s="4" t="s">
        <v>442</v>
      </c>
    </row>
    <row r="81" spans="2:10" x14ac:dyDescent="0.2">
      <c r="D81" s="4" t="s">
        <v>443</v>
      </c>
    </row>
    <row r="82" spans="2:10" ht="18" thickBot="1" x14ac:dyDescent="0.25">
      <c r="B82" s="6"/>
      <c r="C82" s="6"/>
      <c r="D82" s="6"/>
      <c r="E82" s="6"/>
      <c r="F82" s="6"/>
      <c r="G82" s="6"/>
      <c r="H82" s="6"/>
      <c r="I82" s="6"/>
      <c r="J82" s="9" t="s">
        <v>364</v>
      </c>
    </row>
    <row r="83" spans="2:10" x14ac:dyDescent="0.2">
      <c r="D83" s="16" t="s">
        <v>365</v>
      </c>
      <c r="E83" s="16" t="s">
        <v>366</v>
      </c>
      <c r="F83" s="16" t="s">
        <v>367</v>
      </c>
      <c r="G83" s="16" t="s">
        <v>230</v>
      </c>
      <c r="H83" s="16" t="s">
        <v>231</v>
      </c>
      <c r="I83" s="16" t="s">
        <v>232</v>
      </c>
      <c r="J83" s="16" t="s">
        <v>233</v>
      </c>
    </row>
    <row r="84" spans="2:10" x14ac:dyDescent="0.2">
      <c r="B84" s="31" t="s">
        <v>368</v>
      </c>
      <c r="C84" s="31" t="s">
        <v>369</v>
      </c>
      <c r="D84" s="29" t="s">
        <v>370</v>
      </c>
      <c r="E84" s="29" t="s">
        <v>371</v>
      </c>
      <c r="F84" s="29" t="s">
        <v>372</v>
      </c>
      <c r="G84" s="29" t="s">
        <v>234</v>
      </c>
      <c r="H84" s="29" t="s">
        <v>235</v>
      </c>
      <c r="I84" s="29" t="s">
        <v>236</v>
      </c>
      <c r="J84" s="29" t="s">
        <v>237</v>
      </c>
    </row>
    <row r="85" spans="2:10" x14ac:dyDescent="0.2">
      <c r="D85" s="10"/>
    </row>
    <row r="86" spans="2:10" x14ac:dyDescent="0.2">
      <c r="B86" s="1" t="s">
        <v>373</v>
      </c>
      <c r="C86" s="1" t="s">
        <v>444</v>
      </c>
      <c r="D86" s="52">
        <v>1.4E-2</v>
      </c>
      <c r="E86" s="53">
        <v>1.6E-2</v>
      </c>
      <c r="F86" s="54">
        <v>0.02</v>
      </c>
      <c r="G86" s="54">
        <v>2.3E-2</v>
      </c>
      <c r="H86" s="53">
        <v>2.1000000000000001E-2</v>
      </c>
      <c r="I86" s="53">
        <v>1.7999999999999999E-2</v>
      </c>
      <c r="J86" s="53">
        <v>1.7999999999999999E-2</v>
      </c>
    </row>
    <row r="87" spans="2:10" x14ac:dyDescent="0.2">
      <c r="C87" s="1" t="s">
        <v>375</v>
      </c>
      <c r="D87" s="52">
        <v>1.9E-2</v>
      </c>
      <c r="E87" s="53">
        <v>0.02</v>
      </c>
      <c r="F87" s="54">
        <v>1.9E-2</v>
      </c>
      <c r="G87" s="54">
        <v>2.1000000000000001E-2</v>
      </c>
      <c r="H87" s="53">
        <v>0.02</v>
      </c>
      <c r="I87" s="53">
        <v>0.02</v>
      </c>
      <c r="J87" s="53">
        <v>1.9E-2</v>
      </c>
    </row>
    <row r="88" spans="2:10" x14ac:dyDescent="0.2">
      <c r="C88" s="1" t="s">
        <v>445</v>
      </c>
      <c r="D88" s="52">
        <v>1.4999999999999999E-2</v>
      </c>
      <c r="E88" s="53">
        <v>1.7000000000000001E-2</v>
      </c>
      <c r="F88" s="54">
        <v>1.7000000000000001E-2</v>
      </c>
      <c r="G88" s="54">
        <v>1.9E-2</v>
      </c>
      <c r="H88" s="53">
        <v>1.7000000000000001E-2</v>
      </c>
      <c r="I88" s="53">
        <v>1.6E-2</v>
      </c>
      <c r="J88" s="53">
        <v>1.4E-2</v>
      </c>
    </row>
    <row r="89" spans="2:10" x14ac:dyDescent="0.2">
      <c r="C89" s="1" t="s">
        <v>446</v>
      </c>
      <c r="D89" s="52">
        <v>8.9999999999999993E-3</v>
      </c>
      <c r="E89" s="53">
        <v>1.2E-2</v>
      </c>
      <c r="F89" s="54">
        <v>1.2999999999999999E-2</v>
      </c>
      <c r="G89" s="54">
        <v>1.6E-2</v>
      </c>
      <c r="H89" s="53">
        <v>1.4999999999999999E-2</v>
      </c>
      <c r="I89" s="53">
        <v>1.0999999999999999E-2</v>
      </c>
      <c r="J89" s="53">
        <v>1.0999999999999999E-2</v>
      </c>
    </row>
    <row r="90" spans="2:10" x14ac:dyDescent="0.2">
      <c r="C90" s="1" t="s">
        <v>447</v>
      </c>
      <c r="D90" s="52">
        <v>8.0000000000000002E-3</v>
      </c>
      <c r="E90" s="53">
        <v>1.7000000000000001E-2</v>
      </c>
      <c r="F90" s="54">
        <v>1.7000000000000001E-2</v>
      </c>
      <c r="G90" s="54">
        <v>1.7999999999999999E-2</v>
      </c>
      <c r="H90" s="53">
        <v>1.7000000000000001E-2</v>
      </c>
      <c r="I90" s="53">
        <v>1.4999999999999999E-2</v>
      </c>
      <c r="J90" s="53">
        <v>1.4999999999999999E-2</v>
      </c>
    </row>
    <row r="91" spans="2:10" x14ac:dyDescent="0.2">
      <c r="D91" s="10"/>
    </row>
    <row r="92" spans="2:10" x14ac:dyDescent="0.2">
      <c r="B92" s="1" t="s">
        <v>382</v>
      </c>
      <c r="C92" s="1" t="s">
        <v>383</v>
      </c>
      <c r="D92" s="52">
        <v>1.4E-2</v>
      </c>
      <c r="E92" s="53">
        <v>1.2E-2</v>
      </c>
      <c r="F92" s="54">
        <v>1.2E-2</v>
      </c>
      <c r="G92" s="54">
        <v>1.2999999999999999E-2</v>
      </c>
      <c r="H92" s="53">
        <v>1.2999999999999999E-2</v>
      </c>
      <c r="I92" s="53">
        <v>1.2999999999999999E-2</v>
      </c>
      <c r="J92" s="53">
        <v>1.2E-2</v>
      </c>
    </row>
    <row r="93" spans="2:10" x14ac:dyDescent="0.2">
      <c r="C93" s="1" t="s">
        <v>448</v>
      </c>
      <c r="D93" s="52">
        <v>8.9999999999999993E-3</v>
      </c>
      <c r="E93" s="53">
        <v>0.01</v>
      </c>
      <c r="F93" s="54">
        <v>1.0999999999999999E-2</v>
      </c>
      <c r="G93" s="54">
        <v>1.4999999999999999E-2</v>
      </c>
      <c r="H93" s="53">
        <v>1.0999999999999999E-2</v>
      </c>
      <c r="I93" s="53">
        <v>8.0000000000000002E-3</v>
      </c>
      <c r="J93" s="53">
        <v>8.0000000000000002E-3</v>
      </c>
    </row>
    <row r="94" spans="2:10" x14ac:dyDescent="0.2">
      <c r="D94" s="10"/>
    </row>
    <row r="95" spans="2:10" x14ac:dyDescent="0.2">
      <c r="B95" s="1" t="s">
        <v>386</v>
      </c>
      <c r="C95" s="1" t="s">
        <v>387</v>
      </c>
      <c r="D95" s="52">
        <v>0.01</v>
      </c>
      <c r="E95" s="53">
        <v>1.2999999999999999E-2</v>
      </c>
      <c r="F95" s="54">
        <v>1.4E-2</v>
      </c>
      <c r="G95" s="54">
        <v>1.6E-2</v>
      </c>
      <c r="H95" s="53">
        <v>1.2E-2</v>
      </c>
      <c r="I95" s="53">
        <v>1.2E-2</v>
      </c>
      <c r="J95" s="53">
        <v>0.01</v>
      </c>
    </row>
    <row r="96" spans="2:10" x14ac:dyDescent="0.2">
      <c r="C96" s="1" t="s">
        <v>388</v>
      </c>
      <c r="D96" s="52">
        <v>8.9999999999999993E-3</v>
      </c>
      <c r="E96" s="53">
        <v>0.01</v>
      </c>
      <c r="F96" s="54">
        <v>0.01</v>
      </c>
      <c r="G96" s="54">
        <v>0.01</v>
      </c>
      <c r="H96" s="53">
        <v>0.01</v>
      </c>
      <c r="I96" s="53">
        <v>8.9999999999999993E-3</v>
      </c>
      <c r="J96" s="53">
        <v>8.0000000000000002E-3</v>
      </c>
    </row>
    <row r="97" spans="2:10" x14ac:dyDescent="0.2">
      <c r="D97" s="10"/>
    </row>
    <row r="98" spans="2:10" x14ac:dyDescent="0.2">
      <c r="B98" s="1" t="s">
        <v>389</v>
      </c>
      <c r="C98" s="1" t="s">
        <v>390</v>
      </c>
      <c r="D98" s="52">
        <v>1.2E-2</v>
      </c>
      <c r="E98" s="53">
        <v>1.4E-2</v>
      </c>
      <c r="F98" s="54">
        <v>1.54E-2</v>
      </c>
      <c r="G98" s="54">
        <v>1.7000000000000001E-2</v>
      </c>
      <c r="H98" s="53">
        <v>1.4999999999999999E-2</v>
      </c>
      <c r="I98" s="53">
        <v>1.4999999999999999E-2</v>
      </c>
      <c r="J98" s="53">
        <v>1.4E-2</v>
      </c>
    </row>
    <row r="99" spans="2:10" x14ac:dyDescent="0.2">
      <c r="C99" s="1" t="s">
        <v>391</v>
      </c>
      <c r="D99" s="52">
        <v>0.01</v>
      </c>
      <c r="E99" s="53">
        <v>1.4999999999999999E-2</v>
      </c>
      <c r="F99" s="54">
        <v>1.4E-2</v>
      </c>
      <c r="G99" s="54">
        <v>1.4999999999999999E-2</v>
      </c>
      <c r="H99" s="53">
        <v>1.2E-2</v>
      </c>
      <c r="I99" s="53">
        <v>1.4E-2</v>
      </c>
      <c r="J99" s="53">
        <v>1.6E-2</v>
      </c>
    </row>
    <row r="100" spans="2:10" x14ac:dyDescent="0.2">
      <c r="D100" s="10"/>
    </row>
    <row r="101" spans="2:10" x14ac:dyDescent="0.2">
      <c r="B101" s="1" t="s">
        <v>394</v>
      </c>
      <c r="C101" s="1" t="s">
        <v>395</v>
      </c>
      <c r="D101" s="52">
        <v>0.01</v>
      </c>
      <c r="E101" s="53">
        <v>7.0000000000000001E-3</v>
      </c>
      <c r="F101" s="54">
        <v>1.2E-2</v>
      </c>
      <c r="G101" s="54">
        <v>0.01</v>
      </c>
      <c r="H101" s="53">
        <v>0.01</v>
      </c>
      <c r="I101" s="53">
        <v>8.9999999999999993E-3</v>
      </c>
      <c r="J101" s="53">
        <v>8.0000000000000002E-3</v>
      </c>
    </row>
    <row r="102" spans="2:10" x14ac:dyDescent="0.2">
      <c r="B102" s="1" t="s">
        <v>396</v>
      </c>
      <c r="C102" s="1" t="s">
        <v>397</v>
      </c>
      <c r="D102" s="52">
        <v>8.0000000000000002E-3</v>
      </c>
      <c r="E102" s="53">
        <v>8.9999999999999993E-3</v>
      </c>
      <c r="F102" s="54">
        <v>7.0000000000000001E-3</v>
      </c>
      <c r="G102" s="54">
        <v>8.9999999999999993E-3</v>
      </c>
      <c r="H102" s="53">
        <v>8.9999999999999993E-3</v>
      </c>
      <c r="I102" s="53">
        <v>8.0000000000000002E-3</v>
      </c>
      <c r="J102" s="53">
        <v>8.0000000000000002E-3</v>
      </c>
    </row>
    <row r="103" spans="2:10" x14ac:dyDescent="0.2">
      <c r="D103" s="10"/>
    </row>
    <row r="104" spans="2:10" x14ac:dyDescent="0.2">
      <c r="B104" s="1" t="s">
        <v>398</v>
      </c>
      <c r="C104" s="1" t="s">
        <v>399</v>
      </c>
      <c r="D104" s="52">
        <v>4.0000000000000001E-3</v>
      </c>
      <c r="E104" s="53">
        <v>6.0000000000000001E-3</v>
      </c>
      <c r="F104" s="54">
        <v>5.0000000000000001E-3</v>
      </c>
      <c r="G104" s="54">
        <v>6.0000000000000001E-3</v>
      </c>
      <c r="H104" s="53">
        <v>5.0000000000000001E-3</v>
      </c>
      <c r="I104" s="53">
        <v>5.0000000000000001E-3</v>
      </c>
      <c r="J104" s="53">
        <v>5.0000000000000001E-3</v>
      </c>
    </row>
    <row r="105" spans="2:10" x14ac:dyDescent="0.2">
      <c r="C105" s="1" t="s">
        <v>400</v>
      </c>
      <c r="D105" s="52">
        <v>7.0000000000000001E-3</v>
      </c>
      <c r="E105" s="53">
        <v>7.0000000000000001E-3</v>
      </c>
      <c r="F105" s="54">
        <v>7.0000000000000001E-3</v>
      </c>
      <c r="G105" s="54">
        <v>6.0000000000000001E-3</v>
      </c>
      <c r="H105" s="53">
        <v>8.0000000000000002E-3</v>
      </c>
      <c r="I105" s="53">
        <v>7.0000000000000001E-3</v>
      </c>
      <c r="J105" s="53">
        <v>7.0000000000000001E-3</v>
      </c>
    </row>
    <row r="106" spans="2:10" x14ac:dyDescent="0.2">
      <c r="D106" s="10"/>
    </row>
    <row r="107" spans="2:10" x14ac:dyDescent="0.2">
      <c r="B107" s="1" t="s">
        <v>401</v>
      </c>
      <c r="C107" s="1" t="s">
        <v>402</v>
      </c>
      <c r="D107" s="52">
        <v>8.9999999999999993E-3</v>
      </c>
      <c r="E107" s="53">
        <v>0.01</v>
      </c>
      <c r="F107" s="54">
        <v>1.2E-2</v>
      </c>
      <c r="G107" s="54">
        <v>1.0999999999999999E-2</v>
      </c>
      <c r="H107" s="53">
        <v>8.9999999999999993E-3</v>
      </c>
      <c r="I107" s="53">
        <v>8.0000000000000002E-3</v>
      </c>
      <c r="J107" s="53">
        <v>8.9999999999999993E-3</v>
      </c>
    </row>
    <row r="108" spans="2:10" x14ac:dyDescent="0.2">
      <c r="C108" s="1" t="s">
        <v>403</v>
      </c>
      <c r="D108" s="52">
        <v>5.0000000000000001E-3</v>
      </c>
      <c r="E108" s="53">
        <v>5.0000000000000001E-3</v>
      </c>
      <c r="F108" s="54">
        <v>6.0000000000000001E-3</v>
      </c>
      <c r="G108" s="54">
        <v>6.0000000000000001E-3</v>
      </c>
      <c r="H108" s="53">
        <v>8.0000000000000002E-3</v>
      </c>
      <c r="I108" s="53">
        <v>7.0000000000000001E-3</v>
      </c>
      <c r="J108" s="53">
        <v>7.0000000000000001E-3</v>
      </c>
    </row>
    <row r="109" spans="2:10" x14ac:dyDescent="0.2">
      <c r="C109" s="1" t="s">
        <v>404</v>
      </c>
      <c r="D109" s="52">
        <v>6.0000000000000001E-3</v>
      </c>
      <c r="E109" s="53">
        <v>7.0000000000000001E-3</v>
      </c>
      <c r="F109" s="54">
        <v>5.0000000000000001E-3</v>
      </c>
      <c r="G109" s="54">
        <v>8.0000000000000002E-3</v>
      </c>
      <c r="H109" s="53">
        <v>8.0000000000000002E-3</v>
      </c>
      <c r="I109" s="53">
        <v>6.0000000000000001E-3</v>
      </c>
      <c r="J109" s="53">
        <v>7.0000000000000001E-3</v>
      </c>
    </row>
    <row r="110" spans="2:10" x14ac:dyDescent="0.2">
      <c r="C110" s="1" t="s">
        <v>405</v>
      </c>
      <c r="D110" s="52">
        <v>5.0000000000000001E-3</v>
      </c>
      <c r="E110" s="53">
        <v>5.0000000000000001E-3</v>
      </c>
      <c r="F110" s="54">
        <v>5.0000000000000001E-3</v>
      </c>
      <c r="G110" s="54">
        <v>5.0000000000000001E-3</v>
      </c>
      <c r="H110" s="53">
        <v>6.0000000000000001E-3</v>
      </c>
      <c r="I110" s="53">
        <v>5.0000000000000001E-3</v>
      </c>
      <c r="J110" s="53">
        <v>5.0000000000000001E-3</v>
      </c>
    </row>
    <row r="111" spans="2:10" x14ac:dyDescent="0.2">
      <c r="D111" s="10"/>
    </row>
    <row r="112" spans="2:10" x14ac:dyDescent="0.2">
      <c r="B112" s="1" t="s">
        <v>406</v>
      </c>
      <c r="C112" s="1" t="s">
        <v>407</v>
      </c>
      <c r="D112" s="52">
        <v>5.0000000000000001E-3</v>
      </c>
      <c r="E112" s="53">
        <v>6.0000000000000002E-5</v>
      </c>
      <c r="F112" s="54">
        <v>6.0000000000000001E-3</v>
      </c>
      <c r="G112" s="54">
        <v>7.0000000000000001E-3</v>
      </c>
      <c r="H112" s="54">
        <v>6.0000000000000001E-3</v>
      </c>
      <c r="I112" s="54">
        <v>5.0000000000000001E-3</v>
      </c>
      <c r="J112" s="54">
        <v>4.0000000000000001E-3</v>
      </c>
    </row>
    <row r="113" spans="2:10" x14ac:dyDescent="0.2">
      <c r="B113" s="1" t="s">
        <v>408</v>
      </c>
      <c r="C113" s="1" t="s">
        <v>409</v>
      </c>
      <c r="D113" s="52">
        <v>3.0000000000000001E-3</v>
      </c>
      <c r="E113" s="53">
        <v>4.0000000000000001E-3</v>
      </c>
      <c r="F113" s="54">
        <v>4.0000000000000001E-3</v>
      </c>
      <c r="G113" s="54">
        <v>4.0000000000000001E-3</v>
      </c>
      <c r="H113" s="54">
        <v>3.0000000000000001E-3</v>
      </c>
      <c r="I113" s="54">
        <v>3.0000000000000001E-3</v>
      </c>
      <c r="J113" s="54">
        <v>4.0000000000000001E-3</v>
      </c>
    </row>
    <row r="114" spans="2:10" x14ac:dyDescent="0.2">
      <c r="B114" s="1" t="s">
        <v>410</v>
      </c>
      <c r="C114" s="1" t="s">
        <v>411</v>
      </c>
      <c r="D114" s="52">
        <v>7.0000000000000001E-3</v>
      </c>
      <c r="E114" s="53">
        <v>8.0000000000000002E-3</v>
      </c>
      <c r="F114" s="54">
        <v>8.9999999999999993E-3</v>
      </c>
      <c r="G114" s="54">
        <v>8.9999999999999993E-3</v>
      </c>
      <c r="H114" s="54">
        <v>8.0000000000000002E-3</v>
      </c>
      <c r="I114" s="54">
        <v>7.0000000000000001E-3</v>
      </c>
      <c r="J114" s="54">
        <v>7.0000000000000001E-3</v>
      </c>
    </row>
    <row r="115" spans="2:10" ht="18" thickBot="1" x14ac:dyDescent="0.25">
      <c r="B115" s="51"/>
      <c r="C115" s="51"/>
      <c r="D115" s="55"/>
      <c r="E115" s="56"/>
      <c r="F115" s="56"/>
      <c r="G115" s="6"/>
      <c r="H115" s="51"/>
      <c r="I115" s="6"/>
      <c r="J115" s="6"/>
    </row>
    <row r="116" spans="2:10" x14ac:dyDescent="0.2">
      <c r="B116" s="21"/>
      <c r="C116" s="21"/>
      <c r="D116" s="1" t="s">
        <v>313</v>
      </c>
      <c r="E116" s="21"/>
      <c r="F116" s="21"/>
      <c r="G116" s="21"/>
      <c r="H116" s="21"/>
      <c r="I116" s="21"/>
      <c r="J116" s="21"/>
    </row>
    <row r="119" spans="2:10" x14ac:dyDescent="0.2">
      <c r="D119" s="4" t="s">
        <v>449</v>
      </c>
    </row>
    <row r="120" spans="2:10" ht="18" thickBot="1" x14ac:dyDescent="0.25">
      <c r="B120" s="6"/>
      <c r="C120" s="6"/>
      <c r="D120" s="6"/>
      <c r="E120" s="6"/>
      <c r="F120" s="6"/>
      <c r="G120" s="6"/>
      <c r="H120" s="6"/>
      <c r="I120" s="6"/>
      <c r="J120" s="9" t="s">
        <v>364</v>
      </c>
    </row>
    <row r="121" spans="2:10" x14ac:dyDescent="0.2">
      <c r="D121" s="16" t="s">
        <v>365</v>
      </c>
      <c r="E121" s="16" t="s">
        <v>366</v>
      </c>
      <c r="F121" s="16" t="s">
        <v>367</v>
      </c>
      <c r="G121" s="16" t="s">
        <v>230</v>
      </c>
      <c r="H121" s="16" t="s">
        <v>231</v>
      </c>
      <c r="I121" s="16" t="s">
        <v>232</v>
      </c>
      <c r="J121" s="16" t="s">
        <v>233</v>
      </c>
    </row>
    <row r="122" spans="2:10" x14ac:dyDescent="0.2">
      <c r="B122" s="31" t="s">
        <v>368</v>
      </c>
      <c r="C122" s="31" t="s">
        <v>369</v>
      </c>
      <c r="D122" s="29" t="s">
        <v>370</v>
      </c>
      <c r="E122" s="29" t="s">
        <v>371</v>
      </c>
      <c r="F122" s="29" t="s">
        <v>372</v>
      </c>
      <c r="G122" s="29" t="s">
        <v>234</v>
      </c>
      <c r="H122" s="29" t="s">
        <v>235</v>
      </c>
      <c r="I122" s="29" t="s">
        <v>236</v>
      </c>
      <c r="J122" s="29" t="s">
        <v>237</v>
      </c>
    </row>
    <row r="123" spans="2:10" x14ac:dyDescent="0.2">
      <c r="D123" s="10"/>
    </row>
    <row r="124" spans="2:10" x14ac:dyDescent="0.2">
      <c r="B124" s="1" t="s">
        <v>373</v>
      </c>
      <c r="C124" s="1" t="s">
        <v>450</v>
      </c>
      <c r="D124" s="52">
        <v>2.4E-2</v>
      </c>
      <c r="E124" s="53">
        <v>2.1999999999999999E-2</v>
      </c>
      <c r="F124" s="53">
        <v>2.4E-2</v>
      </c>
      <c r="G124" s="53">
        <v>3.5000000000000003E-2</v>
      </c>
      <c r="H124" s="53">
        <v>0.03</v>
      </c>
      <c r="I124" s="53">
        <v>2.4E-2</v>
      </c>
      <c r="J124" s="53">
        <v>1.9E-2</v>
      </c>
    </row>
    <row r="125" spans="2:10" x14ac:dyDescent="0.2">
      <c r="C125" s="1" t="s">
        <v>375</v>
      </c>
      <c r="D125" s="52">
        <v>2.8000000000000001E-2</v>
      </c>
      <c r="E125" s="53">
        <v>0.03</v>
      </c>
      <c r="F125" s="53">
        <v>3.2000000000000001E-2</v>
      </c>
      <c r="G125" s="53">
        <v>2.8000000000000001E-2</v>
      </c>
      <c r="H125" s="53">
        <v>3.1E-2</v>
      </c>
      <c r="I125" s="53">
        <v>2.5000000000000001E-2</v>
      </c>
      <c r="J125" s="53">
        <v>2.7E-2</v>
      </c>
    </row>
    <row r="126" spans="2:10" x14ac:dyDescent="0.2">
      <c r="C126" s="1" t="s">
        <v>445</v>
      </c>
      <c r="D126" s="52">
        <v>2.3E-2</v>
      </c>
      <c r="E126" s="53">
        <v>2.5999999999999999E-2</v>
      </c>
      <c r="F126" s="53">
        <v>2.9000000000000001E-2</v>
      </c>
      <c r="G126" s="53">
        <v>2.5000000000000001E-2</v>
      </c>
      <c r="H126" s="53">
        <v>2.8000000000000001E-2</v>
      </c>
      <c r="I126" s="53">
        <v>2.8000000000000001E-2</v>
      </c>
      <c r="J126" s="53">
        <v>2.7E-2</v>
      </c>
    </row>
    <row r="127" spans="2:10" x14ac:dyDescent="0.2">
      <c r="C127" s="1" t="s">
        <v>451</v>
      </c>
      <c r="D127" s="52">
        <v>2.7E-2</v>
      </c>
      <c r="E127" s="53">
        <v>3.1E-2</v>
      </c>
      <c r="F127" s="53">
        <v>3.5000000000000003E-2</v>
      </c>
      <c r="G127" s="53">
        <v>0.03</v>
      </c>
      <c r="H127" s="53">
        <v>3.5000000000000003E-2</v>
      </c>
      <c r="I127" s="53">
        <v>3.3000000000000002E-2</v>
      </c>
      <c r="J127" s="53">
        <v>0.03</v>
      </c>
    </row>
    <row r="128" spans="2:10" x14ac:dyDescent="0.2">
      <c r="D128" s="10"/>
    </row>
    <row r="129" spans="1:10" x14ac:dyDescent="0.2">
      <c r="C129" s="1" t="s">
        <v>446</v>
      </c>
      <c r="D129" s="52">
        <v>2.5999999999999999E-2</v>
      </c>
      <c r="E129" s="53">
        <v>3.4000000000000002E-2</v>
      </c>
      <c r="F129" s="53">
        <v>3.5999999999999997E-2</v>
      </c>
      <c r="G129" s="53">
        <v>3.2000000000000001E-2</v>
      </c>
      <c r="H129" s="53">
        <v>3.5000000000000003E-2</v>
      </c>
      <c r="I129" s="53">
        <v>3.5000000000000003E-2</v>
      </c>
      <c r="J129" s="53">
        <v>0.03</v>
      </c>
    </row>
    <row r="130" spans="1:10" x14ac:dyDescent="0.2">
      <c r="C130" s="1" t="s">
        <v>452</v>
      </c>
      <c r="D130" s="52">
        <v>2.4E-2</v>
      </c>
      <c r="E130" s="53">
        <v>0.03</v>
      </c>
      <c r="F130" s="53">
        <v>3.3000000000000002E-2</v>
      </c>
      <c r="G130" s="53">
        <v>3.5999999999999997E-2</v>
      </c>
      <c r="H130" s="53">
        <v>3.9E-2</v>
      </c>
      <c r="I130" s="53">
        <v>3.9E-2</v>
      </c>
      <c r="J130" s="53">
        <v>3.6999999999999998E-2</v>
      </c>
    </row>
    <row r="131" spans="1:10" x14ac:dyDescent="0.2">
      <c r="C131" s="1" t="s">
        <v>447</v>
      </c>
      <c r="D131" s="52">
        <v>2.7E-2</v>
      </c>
      <c r="E131" s="53">
        <v>2.7E-2</v>
      </c>
      <c r="F131" s="53">
        <v>3.2000000000000001E-2</v>
      </c>
      <c r="G131" s="53">
        <v>2.9000000000000001E-2</v>
      </c>
      <c r="H131" s="53">
        <v>3.4000000000000002E-2</v>
      </c>
      <c r="I131" s="53">
        <v>3.2000000000000001E-2</v>
      </c>
      <c r="J131" s="53">
        <v>0.03</v>
      </c>
    </row>
    <row r="132" spans="1:10" x14ac:dyDescent="0.2">
      <c r="D132" s="52"/>
      <c r="E132" s="53"/>
      <c r="F132" s="53"/>
      <c r="G132" s="53"/>
      <c r="H132" s="53"/>
      <c r="I132" s="53"/>
      <c r="J132" s="53"/>
    </row>
    <row r="133" spans="1:10" x14ac:dyDescent="0.2">
      <c r="B133" s="1" t="s">
        <v>382</v>
      </c>
      <c r="C133" s="1" t="s">
        <v>453</v>
      </c>
      <c r="D133" s="52">
        <v>2.5000000000000001E-2</v>
      </c>
      <c r="E133" s="53">
        <v>1.7999999999999999E-2</v>
      </c>
      <c r="F133" s="53">
        <v>2.9000000000000001E-2</v>
      </c>
      <c r="G133" s="53">
        <v>2.5000000000000001E-2</v>
      </c>
      <c r="H133" s="53">
        <v>2.7E-2</v>
      </c>
      <c r="I133" s="53">
        <v>3.5000000000000003E-2</v>
      </c>
      <c r="J133" s="53">
        <v>2.7E-2</v>
      </c>
    </row>
    <row r="134" spans="1:10" x14ac:dyDescent="0.2">
      <c r="C134" s="1" t="s">
        <v>383</v>
      </c>
      <c r="D134" s="52">
        <v>2.8000000000000001E-2</v>
      </c>
      <c r="E134" s="53">
        <v>2.3E-2</v>
      </c>
      <c r="F134" s="53">
        <v>2.5999999999999999E-2</v>
      </c>
      <c r="G134" s="53">
        <v>2.8000000000000001E-2</v>
      </c>
      <c r="H134" s="53">
        <v>2.4E-2</v>
      </c>
      <c r="I134" s="53">
        <v>0.03</v>
      </c>
      <c r="J134" s="53">
        <v>2.5999999999999999E-2</v>
      </c>
    </row>
    <row r="135" spans="1:10" x14ac:dyDescent="0.2">
      <c r="C135" s="1" t="s">
        <v>454</v>
      </c>
      <c r="D135" s="52">
        <v>2.5000000000000001E-2</v>
      </c>
      <c r="E135" s="53">
        <v>1.9E-2</v>
      </c>
      <c r="F135" s="53">
        <v>2.1999999999999999E-2</v>
      </c>
      <c r="G135" s="53">
        <v>3.1E-2</v>
      </c>
      <c r="H135" s="53">
        <v>2.1000000000000001E-2</v>
      </c>
      <c r="I135" s="53">
        <v>2.5000000000000001E-2</v>
      </c>
      <c r="J135" s="53">
        <v>0.03</v>
      </c>
    </row>
    <row r="136" spans="1:10" x14ac:dyDescent="0.2">
      <c r="C136" s="1" t="s">
        <v>455</v>
      </c>
      <c r="D136" s="52">
        <v>2.7E-2</v>
      </c>
      <c r="E136" s="53">
        <v>2.5999999999999999E-2</v>
      </c>
      <c r="F136" s="53">
        <v>3.3000000000000002E-2</v>
      </c>
      <c r="G136" s="53">
        <v>2.9000000000000001E-2</v>
      </c>
      <c r="H136" s="53">
        <v>3.2000000000000001E-2</v>
      </c>
      <c r="I136" s="53">
        <v>3.4000000000000002E-2</v>
      </c>
      <c r="J136" s="53">
        <v>3.2000000000000001E-2</v>
      </c>
    </row>
    <row r="137" spans="1:10" x14ac:dyDescent="0.2">
      <c r="D137" s="52"/>
      <c r="E137" s="53"/>
      <c r="F137" s="53"/>
      <c r="G137" s="53"/>
      <c r="H137" s="53"/>
      <c r="I137" s="53"/>
      <c r="J137" s="53"/>
    </row>
    <row r="138" spans="1:10" x14ac:dyDescent="0.2">
      <c r="B138" s="1" t="s">
        <v>386</v>
      </c>
      <c r="C138" s="1" t="s">
        <v>387</v>
      </c>
      <c r="D138" s="52">
        <v>2.9000000000000001E-2</v>
      </c>
      <c r="E138" s="53">
        <v>2.5999999999999999E-2</v>
      </c>
      <c r="F138" s="53">
        <v>3.4000000000000002E-2</v>
      </c>
      <c r="G138" s="53">
        <v>0.03</v>
      </c>
      <c r="H138" s="53">
        <v>2.9000000000000001E-2</v>
      </c>
      <c r="I138" s="53">
        <v>3.4000000000000002E-2</v>
      </c>
      <c r="J138" s="53">
        <v>2.5000000000000001E-2</v>
      </c>
    </row>
    <row r="139" spans="1:10" x14ac:dyDescent="0.2">
      <c r="D139" s="52"/>
      <c r="E139" s="53"/>
      <c r="F139" s="53"/>
      <c r="G139" s="53"/>
      <c r="H139" s="53"/>
      <c r="I139" s="53"/>
      <c r="J139" s="53"/>
    </row>
    <row r="140" spans="1:10" x14ac:dyDescent="0.2">
      <c r="B140" s="1" t="s">
        <v>389</v>
      </c>
      <c r="C140" s="1" t="s">
        <v>390</v>
      </c>
      <c r="D140" s="52">
        <v>2.8000000000000001E-2</v>
      </c>
      <c r="E140" s="53">
        <v>2.4E-2</v>
      </c>
      <c r="F140" s="53">
        <v>3.1E-2</v>
      </c>
      <c r="G140" s="53">
        <v>3.3000000000000002E-2</v>
      </c>
      <c r="H140" s="53">
        <v>2.8000000000000001E-2</v>
      </c>
      <c r="I140" s="53">
        <v>3.2000000000000001E-2</v>
      </c>
      <c r="J140" s="53">
        <v>3.2000000000000001E-2</v>
      </c>
    </row>
    <row r="141" spans="1:10" ht="18" thickBot="1" x14ac:dyDescent="0.25">
      <c r="B141" s="51"/>
      <c r="C141" s="51"/>
      <c r="D141" s="55"/>
      <c r="E141" s="56"/>
      <c r="F141" s="6"/>
      <c r="G141" s="51"/>
      <c r="H141" s="51"/>
      <c r="I141" s="51"/>
      <c r="J141" s="6"/>
    </row>
    <row r="142" spans="1:10" x14ac:dyDescent="0.2">
      <c r="B142" s="21"/>
      <c r="C142" s="21"/>
      <c r="D142" s="1" t="s">
        <v>313</v>
      </c>
      <c r="E142" s="21"/>
      <c r="F142" s="21"/>
      <c r="G142" s="21"/>
      <c r="H142" s="21"/>
      <c r="I142" s="21"/>
      <c r="J142" s="21"/>
    </row>
    <row r="143" spans="1:10" x14ac:dyDescent="0.2">
      <c r="A14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1"/>
  <sheetViews>
    <sheetView showGridLines="0" zoomScale="75" workbookViewId="0">
      <selection activeCell="Q27" sqref="Q27"/>
    </sheetView>
  </sheetViews>
  <sheetFormatPr defaultColWidth="10.875" defaultRowHeight="17.25" x14ac:dyDescent="0.2"/>
  <cols>
    <col min="1" max="1" width="13.375" style="63" customWidth="1"/>
    <col min="2" max="2" width="9.625" style="63" customWidth="1"/>
    <col min="3" max="3" width="14.625" style="63" customWidth="1"/>
    <col min="4" max="4" width="10.875" style="63"/>
    <col min="5" max="5" width="12.125" style="63" customWidth="1"/>
    <col min="6" max="6" width="10.875" style="63"/>
    <col min="7" max="7" width="8.375" style="63" customWidth="1"/>
    <col min="8" max="8" width="13.375" style="63" customWidth="1"/>
    <col min="9" max="9" width="10.875" style="63"/>
    <col min="10" max="10" width="12.125" style="63" customWidth="1"/>
    <col min="11" max="11" width="9.625" style="63" customWidth="1"/>
    <col min="12" max="12" width="8.375" style="63" customWidth="1"/>
    <col min="13" max="13" width="13.375" style="63" customWidth="1"/>
    <col min="14" max="82" width="10.875" style="63"/>
    <col min="83" max="134" width="13.375" style="63" customWidth="1"/>
    <col min="135" max="256" width="10.875" style="63"/>
    <col min="257" max="257" width="13.375" style="63" customWidth="1"/>
    <col min="258" max="258" width="9.625" style="63" customWidth="1"/>
    <col min="259" max="259" width="14.625" style="63" customWidth="1"/>
    <col min="260" max="260" width="10.875" style="63"/>
    <col min="261" max="261" width="12.125" style="63" customWidth="1"/>
    <col min="262" max="262" width="10.875" style="63"/>
    <col min="263" max="263" width="8.375" style="63" customWidth="1"/>
    <col min="264" max="264" width="13.375" style="63" customWidth="1"/>
    <col min="265" max="265" width="10.875" style="63"/>
    <col min="266" max="266" width="12.125" style="63" customWidth="1"/>
    <col min="267" max="267" width="9.625" style="63" customWidth="1"/>
    <col min="268" max="268" width="8.375" style="63" customWidth="1"/>
    <col min="269" max="269" width="13.375" style="63" customWidth="1"/>
    <col min="270" max="338" width="10.875" style="63"/>
    <col min="339" max="390" width="13.375" style="63" customWidth="1"/>
    <col min="391" max="512" width="10.875" style="63"/>
    <col min="513" max="513" width="13.375" style="63" customWidth="1"/>
    <col min="514" max="514" width="9.625" style="63" customWidth="1"/>
    <col min="515" max="515" width="14.625" style="63" customWidth="1"/>
    <col min="516" max="516" width="10.875" style="63"/>
    <col min="517" max="517" width="12.125" style="63" customWidth="1"/>
    <col min="518" max="518" width="10.875" style="63"/>
    <col min="519" max="519" width="8.375" style="63" customWidth="1"/>
    <col min="520" max="520" width="13.375" style="63" customWidth="1"/>
    <col min="521" max="521" width="10.875" style="63"/>
    <col min="522" max="522" width="12.125" style="63" customWidth="1"/>
    <col min="523" max="523" width="9.625" style="63" customWidth="1"/>
    <col min="524" max="524" width="8.375" style="63" customWidth="1"/>
    <col min="525" max="525" width="13.375" style="63" customWidth="1"/>
    <col min="526" max="594" width="10.875" style="63"/>
    <col min="595" max="646" width="13.375" style="63" customWidth="1"/>
    <col min="647" max="768" width="10.875" style="63"/>
    <col min="769" max="769" width="13.375" style="63" customWidth="1"/>
    <col min="770" max="770" width="9.625" style="63" customWidth="1"/>
    <col min="771" max="771" width="14.625" style="63" customWidth="1"/>
    <col min="772" max="772" width="10.875" style="63"/>
    <col min="773" max="773" width="12.125" style="63" customWidth="1"/>
    <col min="774" max="774" width="10.875" style="63"/>
    <col min="775" max="775" width="8.375" style="63" customWidth="1"/>
    <col min="776" max="776" width="13.375" style="63" customWidth="1"/>
    <col min="777" max="777" width="10.875" style="63"/>
    <col min="778" max="778" width="12.125" style="63" customWidth="1"/>
    <col min="779" max="779" width="9.625" style="63" customWidth="1"/>
    <col min="780" max="780" width="8.375" style="63" customWidth="1"/>
    <col min="781" max="781" width="13.375" style="63" customWidth="1"/>
    <col min="782" max="850" width="10.875" style="63"/>
    <col min="851" max="902" width="13.375" style="63" customWidth="1"/>
    <col min="903" max="1024" width="10.875" style="63"/>
    <col min="1025" max="1025" width="13.375" style="63" customWidth="1"/>
    <col min="1026" max="1026" width="9.625" style="63" customWidth="1"/>
    <col min="1027" max="1027" width="14.625" style="63" customWidth="1"/>
    <col min="1028" max="1028" width="10.875" style="63"/>
    <col min="1029" max="1029" width="12.125" style="63" customWidth="1"/>
    <col min="1030" max="1030" width="10.875" style="63"/>
    <col min="1031" max="1031" width="8.375" style="63" customWidth="1"/>
    <col min="1032" max="1032" width="13.375" style="63" customWidth="1"/>
    <col min="1033" max="1033" width="10.875" style="63"/>
    <col min="1034" max="1034" width="12.125" style="63" customWidth="1"/>
    <col min="1035" max="1035" width="9.625" style="63" customWidth="1"/>
    <col min="1036" max="1036" width="8.375" style="63" customWidth="1"/>
    <col min="1037" max="1037" width="13.375" style="63" customWidth="1"/>
    <col min="1038" max="1106" width="10.875" style="63"/>
    <col min="1107" max="1158" width="13.375" style="63" customWidth="1"/>
    <col min="1159" max="1280" width="10.875" style="63"/>
    <col min="1281" max="1281" width="13.375" style="63" customWidth="1"/>
    <col min="1282" max="1282" width="9.625" style="63" customWidth="1"/>
    <col min="1283" max="1283" width="14.625" style="63" customWidth="1"/>
    <col min="1284" max="1284" width="10.875" style="63"/>
    <col min="1285" max="1285" width="12.125" style="63" customWidth="1"/>
    <col min="1286" max="1286" width="10.875" style="63"/>
    <col min="1287" max="1287" width="8.375" style="63" customWidth="1"/>
    <col min="1288" max="1288" width="13.375" style="63" customWidth="1"/>
    <col min="1289" max="1289" width="10.875" style="63"/>
    <col min="1290" max="1290" width="12.125" style="63" customWidth="1"/>
    <col min="1291" max="1291" width="9.625" style="63" customWidth="1"/>
    <col min="1292" max="1292" width="8.375" style="63" customWidth="1"/>
    <col min="1293" max="1293" width="13.375" style="63" customWidth="1"/>
    <col min="1294" max="1362" width="10.875" style="63"/>
    <col min="1363" max="1414" width="13.375" style="63" customWidth="1"/>
    <col min="1415" max="1536" width="10.875" style="63"/>
    <col min="1537" max="1537" width="13.375" style="63" customWidth="1"/>
    <col min="1538" max="1538" width="9.625" style="63" customWidth="1"/>
    <col min="1539" max="1539" width="14.625" style="63" customWidth="1"/>
    <col min="1540" max="1540" width="10.875" style="63"/>
    <col min="1541" max="1541" width="12.125" style="63" customWidth="1"/>
    <col min="1542" max="1542" width="10.875" style="63"/>
    <col min="1543" max="1543" width="8.375" style="63" customWidth="1"/>
    <col min="1544" max="1544" width="13.375" style="63" customWidth="1"/>
    <col min="1545" max="1545" width="10.875" style="63"/>
    <col min="1546" max="1546" width="12.125" style="63" customWidth="1"/>
    <col min="1547" max="1547" width="9.625" style="63" customWidth="1"/>
    <col min="1548" max="1548" width="8.375" style="63" customWidth="1"/>
    <col min="1549" max="1549" width="13.375" style="63" customWidth="1"/>
    <col min="1550" max="1618" width="10.875" style="63"/>
    <col min="1619" max="1670" width="13.375" style="63" customWidth="1"/>
    <col min="1671" max="1792" width="10.875" style="63"/>
    <col min="1793" max="1793" width="13.375" style="63" customWidth="1"/>
    <col min="1794" max="1794" width="9.625" style="63" customWidth="1"/>
    <col min="1795" max="1795" width="14.625" style="63" customWidth="1"/>
    <col min="1796" max="1796" width="10.875" style="63"/>
    <col min="1797" max="1797" width="12.125" style="63" customWidth="1"/>
    <col min="1798" max="1798" width="10.875" style="63"/>
    <col min="1799" max="1799" width="8.375" style="63" customWidth="1"/>
    <col min="1800" max="1800" width="13.375" style="63" customWidth="1"/>
    <col min="1801" max="1801" width="10.875" style="63"/>
    <col min="1802" max="1802" width="12.125" style="63" customWidth="1"/>
    <col min="1803" max="1803" width="9.625" style="63" customWidth="1"/>
    <col min="1804" max="1804" width="8.375" style="63" customWidth="1"/>
    <col min="1805" max="1805" width="13.375" style="63" customWidth="1"/>
    <col min="1806" max="1874" width="10.875" style="63"/>
    <col min="1875" max="1926" width="13.375" style="63" customWidth="1"/>
    <col min="1927" max="2048" width="10.875" style="63"/>
    <col min="2049" max="2049" width="13.375" style="63" customWidth="1"/>
    <col min="2050" max="2050" width="9.625" style="63" customWidth="1"/>
    <col min="2051" max="2051" width="14.625" style="63" customWidth="1"/>
    <col min="2052" max="2052" width="10.875" style="63"/>
    <col min="2053" max="2053" width="12.125" style="63" customWidth="1"/>
    <col min="2054" max="2054" width="10.875" style="63"/>
    <col min="2055" max="2055" width="8.375" style="63" customWidth="1"/>
    <col min="2056" max="2056" width="13.375" style="63" customWidth="1"/>
    <col min="2057" max="2057" width="10.875" style="63"/>
    <col min="2058" max="2058" width="12.125" style="63" customWidth="1"/>
    <col min="2059" max="2059" width="9.625" style="63" customWidth="1"/>
    <col min="2060" max="2060" width="8.375" style="63" customWidth="1"/>
    <col min="2061" max="2061" width="13.375" style="63" customWidth="1"/>
    <col min="2062" max="2130" width="10.875" style="63"/>
    <col min="2131" max="2182" width="13.375" style="63" customWidth="1"/>
    <col min="2183" max="2304" width="10.875" style="63"/>
    <col min="2305" max="2305" width="13.375" style="63" customWidth="1"/>
    <col min="2306" max="2306" width="9.625" style="63" customWidth="1"/>
    <col min="2307" max="2307" width="14.625" style="63" customWidth="1"/>
    <col min="2308" max="2308" width="10.875" style="63"/>
    <col min="2309" max="2309" width="12.125" style="63" customWidth="1"/>
    <col min="2310" max="2310" width="10.875" style="63"/>
    <col min="2311" max="2311" width="8.375" style="63" customWidth="1"/>
    <col min="2312" max="2312" width="13.375" style="63" customWidth="1"/>
    <col min="2313" max="2313" width="10.875" style="63"/>
    <col min="2314" max="2314" width="12.125" style="63" customWidth="1"/>
    <col min="2315" max="2315" width="9.625" style="63" customWidth="1"/>
    <col min="2316" max="2316" width="8.375" style="63" customWidth="1"/>
    <col min="2317" max="2317" width="13.375" style="63" customWidth="1"/>
    <col min="2318" max="2386" width="10.875" style="63"/>
    <col min="2387" max="2438" width="13.375" style="63" customWidth="1"/>
    <col min="2439" max="2560" width="10.875" style="63"/>
    <col min="2561" max="2561" width="13.375" style="63" customWidth="1"/>
    <col min="2562" max="2562" width="9.625" style="63" customWidth="1"/>
    <col min="2563" max="2563" width="14.625" style="63" customWidth="1"/>
    <col min="2564" max="2564" width="10.875" style="63"/>
    <col min="2565" max="2565" width="12.125" style="63" customWidth="1"/>
    <col min="2566" max="2566" width="10.875" style="63"/>
    <col min="2567" max="2567" width="8.375" style="63" customWidth="1"/>
    <col min="2568" max="2568" width="13.375" style="63" customWidth="1"/>
    <col min="2569" max="2569" width="10.875" style="63"/>
    <col min="2570" max="2570" width="12.125" style="63" customWidth="1"/>
    <col min="2571" max="2571" width="9.625" style="63" customWidth="1"/>
    <col min="2572" max="2572" width="8.375" style="63" customWidth="1"/>
    <col min="2573" max="2573" width="13.375" style="63" customWidth="1"/>
    <col min="2574" max="2642" width="10.875" style="63"/>
    <col min="2643" max="2694" width="13.375" style="63" customWidth="1"/>
    <col min="2695" max="2816" width="10.875" style="63"/>
    <col min="2817" max="2817" width="13.375" style="63" customWidth="1"/>
    <col min="2818" max="2818" width="9.625" style="63" customWidth="1"/>
    <col min="2819" max="2819" width="14.625" style="63" customWidth="1"/>
    <col min="2820" max="2820" width="10.875" style="63"/>
    <col min="2821" max="2821" width="12.125" style="63" customWidth="1"/>
    <col min="2822" max="2822" width="10.875" style="63"/>
    <col min="2823" max="2823" width="8.375" style="63" customWidth="1"/>
    <col min="2824" max="2824" width="13.375" style="63" customWidth="1"/>
    <col min="2825" max="2825" width="10.875" style="63"/>
    <col min="2826" max="2826" width="12.125" style="63" customWidth="1"/>
    <col min="2827" max="2827" width="9.625" style="63" customWidth="1"/>
    <col min="2828" max="2828" width="8.375" style="63" customWidth="1"/>
    <col min="2829" max="2829" width="13.375" style="63" customWidth="1"/>
    <col min="2830" max="2898" width="10.875" style="63"/>
    <col min="2899" max="2950" width="13.375" style="63" customWidth="1"/>
    <col min="2951" max="3072" width="10.875" style="63"/>
    <col min="3073" max="3073" width="13.375" style="63" customWidth="1"/>
    <col min="3074" max="3074" width="9.625" style="63" customWidth="1"/>
    <col min="3075" max="3075" width="14.625" style="63" customWidth="1"/>
    <col min="3076" max="3076" width="10.875" style="63"/>
    <col min="3077" max="3077" width="12.125" style="63" customWidth="1"/>
    <col min="3078" max="3078" width="10.875" style="63"/>
    <col min="3079" max="3079" width="8.375" style="63" customWidth="1"/>
    <col min="3080" max="3080" width="13.375" style="63" customWidth="1"/>
    <col min="3081" max="3081" width="10.875" style="63"/>
    <col min="3082" max="3082" width="12.125" style="63" customWidth="1"/>
    <col min="3083" max="3083" width="9.625" style="63" customWidth="1"/>
    <col min="3084" max="3084" width="8.375" style="63" customWidth="1"/>
    <col min="3085" max="3085" width="13.375" style="63" customWidth="1"/>
    <col min="3086" max="3154" width="10.875" style="63"/>
    <col min="3155" max="3206" width="13.375" style="63" customWidth="1"/>
    <col min="3207" max="3328" width="10.875" style="63"/>
    <col min="3329" max="3329" width="13.375" style="63" customWidth="1"/>
    <col min="3330" max="3330" width="9.625" style="63" customWidth="1"/>
    <col min="3331" max="3331" width="14.625" style="63" customWidth="1"/>
    <col min="3332" max="3332" width="10.875" style="63"/>
    <col min="3333" max="3333" width="12.125" style="63" customWidth="1"/>
    <col min="3334" max="3334" width="10.875" style="63"/>
    <col min="3335" max="3335" width="8.375" style="63" customWidth="1"/>
    <col min="3336" max="3336" width="13.375" style="63" customWidth="1"/>
    <col min="3337" max="3337" width="10.875" style="63"/>
    <col min="3338" max="3338" width="12.125" style="63" customWidth="1"/>
    <col min="3339" max="3339" width="9.625" style="63" customWidth="1"/>
    <col min="3340" max="3340" width="8.375" style="63" customWidth="1"/>
    <col min="3341" max="3341" width="13.375" style="63" customWidth="1"/>
    <col min="3342" max="3410" width="10.875" style="63"/>
    <col min="3411" max="3462" width="13.375" style="63" customWidth="1"/>
    <col min="3463" max="3584" width="10.875" style="63"/>
    <col min="3585" max="3585" width="13.375" style="63" customWidth="1"/>
    <col min="3586" max="3586" width="9.625" style="63" customWidth="1"/>
    <col min="3587" max="3587" width="14.625" style="63" customWidth="1"/>
    <col min="3588" max="3588" width="10.875" style="63"/>
    <col min="3589" max="3589" width="12.125" style="63" customWidth="1"/>
    <col min="3590" max="3590" width="10.875" style="63"/>
    <col min="3591" max="3591" width="8.375" style="63" customWidth="1"/>
    <col min="3592" max="3592" width="13.375" style="63" customWidth="1"/>
    <col min="3593" max="3593" width="10.875" style="63"/>
    <col min="3594" max="3594" width="12.125" style="63" customWidth="1"/>
    <col min="3595" max="3595" width="9.625" style="63" customWidth="1"/>
    <col min="3596" max="3596" width="8.375" style="63" customWidth="1"/>
    <col min="3597" max="3597" width="13.375" style="63" customWidth="1"/>
    <col min="3598" max="3666" width="10.875" style="63"/>
    <col min="3667" max="3718" width="13.375" style="63" customWidth="1"/>
    <col min="3719" max="3840" width="10.875" style="63"/>
    <col min="3841" max="3841" width="13.375" style="63" customWidth="1"/>
    <col min="3842" max="3842" width="9.625" style="63" customWidth="1"/>
    <col min="3843" max="3843" width="14.625" style="63" customWidth="1"/>
    <col min="3844" max="3844" width="10.875" style="63"/>
    <col min="3845" max="3845" width="12.125" style="63" customWidth="1"/>
    <col min="3846" max="3846" width="10.875" style="63"/>
    <col min="3847" max="3847" width="8.375" style="63" customWidth="1"/>
    <col min="3848" max="3848" width="13.375" style="63" customWidth="1"/>
    <col min="3849" max="3849" width="10.875" style="63"/>
    <col min="3850" max="3850" width="12.125" style="63" customWidth="1"/>
    <col min="3851" max="3851" width="9.625" style="63" customWidth="1"/>
    <col min="3852" max="3852" width="8.375" style="63" customWidth="1"/>
    <col min="3853" max="3853" width="13.375" style="63" customWidth="1"/>
    <col min="3854" max="3922" width="10.875" style="63"/>
    <col min="3923" max="3974" width="13.375" style="63" customWidth="1"/>
    <col min="3975" max="4096" width="10.875" style="63"/>
    <col min="4097" max="4097" width="13.375" style="63" customWidth="1"/>
    <col min="4098" max="4098" width="9.625" style="63" customWidth="1"/>
    <col min="4099" max="4099" width="14.625" style="63" customWidth="1"/>
    <col min="4100" max="4100" width="10.875" style="63"/>
    <col min="4101" max="4101" width="12.125" style="63" customWidth="1"/>
    <col min="4102" max="4102" width="10.875" style="63"/>
    <col min="4103" max="4103" width="8.375" style="63" customWidth="1"/>
    <col min="4104" max="4104" width="13.375" style="63" customWidth="1"/>
    <col min="4105" max="4105" width="10.875" style="63"/>
    <col min="4106" max="4106" width="12.125" style="63" customWidth="1"/>
    <col min="4107" max="4107" width="9.625" style="63" customWidth="1"/>
    <col min="4108" max="4108" width="8.375" style="63" customWidth="1"/>
    <col min="4109" max="4109" width="13.375" style="63" customWidth="1"/>
    <col min="4110" max="4178" width="10.875" style="63"/>
    <col min="4179" max="4230" width="13.375" style="63" customWidth="1"/>
    <col min="4231" max="4352" width="10.875" style="63"/>
    <col min="4353" max="4353" width="13.375" style="63" customWidth="1"/>
    <col min="4354" max="4354" width="9.625" style="63" customWidth="1"/>
    <col min="4355" max="4355" width="14.625" style="63" customWidth="1"/>
    <col min="4356" max="4356" width="10.875" style="63"/>
    <col min="4357" max="4357" width="12.125" style="63" customWidth="1"/>
    <col min="4358" max="4358" width="10.875" style="63"/>
    <col min="4359" max="4359" width="8.375" style="63" customWidth="1"/>
    <col min="4360" max="4360" width="13.375" style="63" customWidth="1"/>
    <col min="4361" max="4361" width="10.875" style="63"/>
    <col min="4362" max="4362" width="12.125" style="63" customWidth="1"/>
    <col min="4363" max="4363" width="9.625" style="63" customWidth="1"/>
    <col min="4364" max="4364" width="8.375" style="63" customWidth="1"/>
    <col min="4365" max="4365" width="13.375" style="63" customWidth="1"/>
    <col min="4366" max="4434" width="10.875" style="63"/>
    <col min="4435" max="4486" width="13.375" style="63" customWidth="1"/>
    <col min="4487" max="4608" width="10.875" style="63"/>
    <col min="4609" max="4609" width="13.375" style="63" customWidth="1"/>
    <col min="4610" max="4610" width="9.625" style="63" customWidth="1"/>
    <col min="4611" max="4611" width="14.625" style="63" customWidth="1"/>
    <col min="4612" max="4612" width="10.875" style="63"/>
    <col min="4613" max="4613" width="12.125" style="63" customWidth="1"/>
    <col min="4614" max="4614" width="10.875" style="63"/>
    <col min="4615" max="4615" width="8.375" style="63" customWidth="1"/>
    <col min="4616" max="4616" width="13.375" style="63" customWidth="1"/>
    <col min="4617" max="4617" width="10.875" style="63"/>
    <col min="4618" max="4618" width="12.125" style="63" customWidth="1"/>
    <col min="4619" max="4619" width="9.625" style="63" customWidth="1"/>
    <col min="4620" max="4620" width="8.375" style="63" customWidth="1"/>
    <col min="4621" max="4621" width="13.375" style="63" customWidth="1"/>
    <col min="4622" max="4690" width="10.875" style="63"/>
    <col min="4691" max="4742" width="13.375" style="63" customWidth="1"/>
    <col min="4743" max="4864" width="10.875" style="63"/>
    <col min="4865" max="4865" width="13.375" style="63" customWidth="1"/>
    <col min="4866" max="4866" width="9.625" style="63" customWidth="1"/>
    <col min="4867" max="4867" width="14.625" style="63" customWidth="1"/>
    <col min="4868" max="4868" width="10.875" style="63"/>
    <col min="4869" max="4869" width="12.125" style="63" customWidth="1"/>
    <col min="4870" max="4870" width="10.875" style="63"/>
    <col min="4871" max="4871" width="8.375" style="63" customWidth="1"/>
    <col min="4872" max="4872" width="13.375" style="63" customWidth="1"/>
    <col min="4873" max="4873" width="10.875" style="63"/>
    <col min="4874" max="4874" width="12.125" style="63" customWidth="1"/>
    <col min="4875" max="4875" width="9.625" style="63" customWidth="1"/>
    <col min="4876" max="4876" width="8.375" style="63" customWidth="1"/>
    <col min="4877" max="4877" width="13.375" style="63" customWidth="1"/>
    <col min="4878" max="4946" width="10.875" style="63"/>
    <col min="4947" max="4998" width="13.375" style="63" customWidth="1"/>
    <col min="4999" max="5120" width="10.875" style="63"/>
    <col min="5121" max="5121" width="13.375" style="63" customWidth="1"/>
    <col min="5122" max="5122" width="9.625" style="63" customWidth="1"/>
    <col min="5123" max="5123" width="14.625" style="63" customWidth="1"/>
    <col min="5124" max="5124" width="10.875" style="63"/>
    <col min="5125" max="5125" width="12.125" style="63" customWidth="1"/>
    <col min="5126" max="5126" width="10.875" style="63"/>
    <col min="5127" max="5127" width="8.375" style="63" customWidth="1"/>
    <col min="5128" max="5128" width="13.375" style="63" customWidth="1"/>
    <col min="5129" max="5129" width="10.875" style="63"/>
    <col min="5130" max="5130" width="12.125" style="63" customWidth="1"/>
    <col min="5131" max="5131" width="9.625" style="63" customWidth="1"/>
    <col min="5132" max="5132" width="8.375" style="63" customWidth="1"/>
    <col min="5133" max="5133" width="13.375" style="63" customWidth="1"/>
    <col min="5134" max="5202" width="10.875" style="63"/>
    <col min="5203" max="5254" width="13.375" style="63" customWidth="1"/>
    <col min="5255" max="5376" width="10.875" style="63"/>
    <col min="5377" max="5377" width="13.375" style="63" customWidth="1"/>
    <col min="5378" max="5378" width="9.625" style="63" customWidth="1"/>
    <col min="5379" max="5379" width="14.625" style="63" customWidth="1"/>
    <col min="5380" max="5380" width="10.875" style="63"/>
    <col min="5381" max="5381" width="12.125" style="63" customWidth="1"/>
    <col min="5382" max="5382" width="10.875" style="63"/>
    <col min="5383" max="5383" width="8.375" style="63" customWidth="1"/>
    <col min="5384" max="5384" width="13.375" style="63" customWidth="1"/>
    <col min="5385" max="5385" width="10.875" style="63"/>
    <col min="5386" max="5386" width="12.125" style="63" customWidth="1"/>
    <col min="5387" max="5387" width="9.625" style="63" customWidth="1"/>
    <col min="5388" max="5388" width="8.375" style="63" customWidth="1"/>
    <col min="5389" max="5389" width="13.375" style="63" customWidth="1"/>
    <col min="5390" max="5458" width="10.875" style="63"/>
    <col min="5459" max="5510" width="13.375" style="63" customWidth="1"/>
    <col min="5511" max="5632" width="10.875" style="63"/>
    <col min="5633" max="5633" width="13.375" style="63" customWidth="1"/>
    <col min="5634" max="5634" width="9.625" style="63" customWidth="1"/>
    <col min="5635" max="5635" width="14.625" style="63" customWidth="1"/>
    <col min="5636" max="5636" width="10.875" style="63"/>
    <col min="5637" max="5637" width="12.125" style="63" customWidth="1"/>
    <col min="5638" max="5638" width="10.875" style="63"/>
    <col min="5639" max="5639" width="8.375" style="63" customWidth="1"/>
    <col min="5640" max="5640" width="13.375" style="63" customWidth="1"/>
    <col min="5641" max="5641" width="10.875" style="63"/>
    <col min="5642" max="5642" width="12.125" style="63" customWidth="1"/>
    <col min="5643" max="5643" width="9.625" style="63" customWidth="1"/>
    <col min="5644" max="5644" width="8.375" style="63" customWidth="1"/>
    <col min="5645" max="5645" width="13.375" style="63" customWidth="1"/>
    <col min="5646" max="5714" width="10.875" style="63"/>
    <col min="5715" max="5766" width="13.375" style="63" customWidth="1"/>
    <col min="5767" max="5888" width="10.875" style="63"/>
    <col min="5889" max="5889" width="13.375" style="63" customWidth="1"/>
    <col min="5890" max="5890" width="9.625" style="63" customWidth="1"/>
    <col min="5891" max="5891" width="14.625" style="63" customWidth="1"/>
    <col min="5892" max="5892" width="10.875" style="63"/>
    <col min="5893" max="5893" width="12.125" style="63" customWidth="1"/>
    <col min="5894" max="5894" width="10.875" style="63"/>
    <col min="5895" max="5895" width="8.375" style="63" customWidth="1"/>
    <col min="5896" max="5896" width="13.375" style="63" customWidth="1"/>
    <col min="5897" max="5897" width="10.875" style="63"/>
    <col min="5898" max="5898" width="12.125" style="63" customWidth="1"/>
    <col min="5899" max="5899" width="9.625" style="63" customWidth="1"/>
    <col min="5900" max="5900" width="8.375" style="63" customWidth="1"/>
    <col min="5901" max="5901" width="13.375" style="63" customWidth="1"/>
    <col min="5902" max="5970" width="10.875" style="63"/>
    <col min="5971" max="6022" width="13.375" style="63" customWidth="1"/>
    <col min="6023" max="6144" width="10.875" style="63"/>
    <col min="6145" max="6145" width="13.375" style="63" customWidth="1"/>
    <col min="6146" max="6146" width="9.625" style="63" customWidth="1"/>
    <col min="6147" max="6147" width="14.625" style="63" customWidth="1"/>
    <col min="6148" max="6148" width="10.875" style="63"/>
    <col min="6149" max="6149" width="12.125" style="63" customWidth="1"/>
    <col min="6150" max="6150" width="10.875" style="63"/>
    <col min="6151" max="6151" width="8.375" style="63" customWidth="1"/>
    <col min="6152" max="6152" width="13.375" style="63" customWidth="1"/>
    <col min="6153" max="6153" width="10.875" style="63"/>
    <col min="6154" max="6154" width="12.125" style="63" customWidth="1"/>
    <col min="6155" max="6155" width="9.625" style="63" customWidth="1"/>
    <col min="6156" max="6156" width="8.375" style="63" customWidth="1"/>
    <col min="6157" max="6157" width="13.375" style="63" customWidth="1"/>
    <col min="6158" max="6226" width="10.875" style="63"/>
    <col min="6227" max="6278" width="13.375" style="63" customWidth="1"/>
    <col min="6279" max="6400" width="10.875" style="63"/>
    <col min="6401" max="6401" width="13.375" style="63" customWidth="1"/>
    <col min="6402" max="6402" width="9.625" style="63" customWidth="1"/>
    <col min="6403" max="6403" width="14.625" style="63" customWidth="1"/>
    <col min="6404" max="6404" width="10.875" style="63"/>
    <col min="6405" max="6405" width="12.125" style="63" customWidth="1"/>
    <col min="6406" max="6406" width="10.875" style="63"/>
    <col min="6407" max="6407" width="8.375" style="63" customWidth="1"/>
    <col min="6408" max="6408" width="13.375" style="63" customWidth="1"/>
    <col min="6409" max="6409" width="10.875" style="63"/>
    <col min="6410" max="6410" width="12.125" style="63" customWidth="1"/>
    <col min="6411" max="6411" width="9.625" style="63" customWidth="1"/>
    <col min="6412" max="6412" width="8.375" style="63" customWidth="1"/>
    <col min="6413" max="6413" width="13.375" style="63" customWidth="1"/>
    <col min="6414" max="6482" width="10.875" style="63"/>
    <col min="6483" max="6534" width="13.375" style="63" customWidth="1"/>
    <col min="6535" max="6656" width="10.875" style="63"/>
    <col min="6657" max="6657" width="13.375" style="63" customWidth="1"/>
    <col min="6658" max="6658" width="9.625" style="63" customWidth="1"/>
    <col min="6659" max="6659" width="14.625" style="63" customWidth="1"/>
    <col min="6660" max="6660" width="10.875" style="63"/>
    <col min="6661" max="6661" width="12.125" style="63" customWidth="1"/>
    <col min="6662" max="6662" width="10.875" style="63"/>
    <col min="6663" max="6663" width="8.375" style="63" customWidth="1"/>
    <col min="6664" max="6664" width="13.375" style="63" customWidth="1"/>
    <col min="6665" max="6665" width="10.875" style="63"/>
    <col min="6666" max="6666" width="12.125" style="63" customWidth="1"/>
    <col min="6667" max="6667" width="9.625" style="63" customWidth="1"/>
    <col min="6668" max="6668" width="8.375" style="63" customWidth="1"/>
    <col min="6669" max="6669" width="13.375" style="63" customWidth="1"/>
    <col min="6670" max="6738" width="10.875" style="63"/>
    <col min="6739" max="6790" width="13.375" style="63" customWidth="1"/>
    <col min="6791" max="6912" width="10.875" style="63"/>
    <col min="6913" max="6913" width="13.375" style="63" customWidth="1"/>
    <col min="6914" max="6914" width="9.625" style="63" customWidth="1"/>
    <col min="6915" max="6915" width="14.625" style="63" customWidth="1"/>
    <col min="6916" max="6916" width="10.875" style="63"/>
    <col min="6917" max="6917" width="12.125" style="63" customWidth="1"/>
    <col min="6918" max="6918" width="10.875" style="63"/>
    <col min="6919" max="6919" width="8.375" style="63" customWidth="1"/>
    <col min="6920" max="6920" width="13.375" style="63" customWidth="1"/>
    <col min="6921" max="6921" width="10.875" style="63"/>
    <col min="6922" max="6922" width="12.125" style="63" customWidth="1"/>
    <col min="6923" max="6923" width="9.625" style="63" customWidth="1"/>
    <col min="6924" max="6924" width="8.375" style="63" customWidth="1"/>
    <col min="6925" max="6925" width="13.375" style="63" customWidth="1"/>
    <col min="6926" max="6994" width="10.875" style="63"/>
    <col min="6995" max="7046" width="13.375" style="63" customWidth="1"/>
    <col min="7047" max="7168" width="10.875" style="63"/>
    <col min="7169" max="7169" width="13.375" style="63" customWidth="1"/>
    <col min="7170" max="7170" width="9.625" style="63" customWidth="1"/>
    <col min="7171" max="7171" width="14.625" style="63" customWidth="1"/>
    <col min="7172" max="7172" width="10.875" style="63"/>
    <col min="7173" max="7173" width="12.125" style="63" customWidth="1"/>
    <col min="7174" max="7174" width="10.875" style="63"/>
    <col min="7175" max="7175" width="8.375" style="63" customWidth="1"/>
    <col min="7176" max="7176" width="13.375" style="63" customWidth="1"/>
    <col min="7177" max="7177" width="10.875" style="63"/>
    <col min="7178" max="7178" width="12.125" style="63" customWidth="1"/>
    <col min="7179" max="7179" width="9.625" style="63" customWidth="1"/>
    <col min="7180" max="7180" width="8.375" style="63" customWidth="1"/>
    <col min="7181" max="7181" width="13.375" style="63" customWidth="1"/>
    <col min="7182" max="7250" width="10.875" style="63"/>
    <col min="7251" max="7302" width="13.375" style="63" customWidth="1"/>
    <col min="7303" max="7424" width="10.875" style="63"/>
    <col min="7425" max="7425" width="13.375" style="63" customWidth="1"/>
    <col min="7426" max="7426" width="9.625" style="63" customWidth="1"/>
    <col min="7427" max="7427" width="14.625" style="63" customWidth="1"/>
    <col min="7428" max="7428" width="10.875" style="63"/>
    <col min="7429" max="7429" width="12.125" style="63" customWidth="1"/>
    <col min="7430" max="7430" width="10.875" style="63"/>
    <col min="7431" max="7431" width="8.375" style="63" customWidth="1"/>
    <col min="7432" max="7432" width="13.375" style="63" customWidth="1"/>
    <col min="7433" max="7433" width="10.875" style="63"/>
    <col min="7434" max="7434" width="12.125" style="63" customWidth="1"/>
    <col min="7435" max="7435" width="9.625" style="63" customWidth="1"/>
    <col min="7436" max="7436" width="8.375" style="63" customWidth="1"/>
    <col min="7437" max="7437" width="13.375" style="63" customWidth="1"/>
    <col min="7438" max="7506" width="10.875" style="63"/>
    <col min="7507" max="7558" width="13.375" style="63" customWidth="1"/>
    <col min="7559" max="7680" width="10.875" style="63"/>
    <col min="7681" max="7681" width="13.375" style="63" customWidth="1"/>
    <col min="7682" max="7682" width="9.625" style="63" customWidth="1"/>
    <col min="7683" max="7683" width="14.625" style="63" customWidth="1"/>
    <col min="7684" max="7684" width="10.875" style="63"/>
    <col min="7685" max="7685" width="12.125" style="63" customWidth="1"/>
    <col min="7686" max="7686" width="10.875" style="63"/>
    <col min="7687" max="7687" width="8.375" style="63" customWidth="1"/>
    <col min="7688" max="7688" width="13.375" style="63" customWidth="1"/>
    <col min="7689" max="7689" width="10.875" style="63"/>
    <col min="7690" max="7690" width="12.125" style="63" customWidth="1"/>
    <col min="7691" max="7691" width="9.625" style="63" customWidth="1"/>
    <col min="7692" max="7692" width="8.375" style="63" customWidth="1"/>
    <col min="7693" max="7693" width="13.375" style="63" customWidth="1"/>
    <col min="7694" max="7762" width="10.875" style="63"/>
    <col min="7763" max="7814" width="13.375" style="63" customWidth="1"/>
    <col min="7815" max="7936" width="10.875" style="63"/>
    <col min="7937" max="7937" width="13.375" style="63" customWidth="1"/>
    <col min="7938" max="7938" width="9.625" style="63" customWidth="1"/>
    <col min="7939" max="7939" width="14.625" style="63" customWidth="1"/>
    <col min="7940" max="7940" width="10.875" style="63"/>
    <col min="7941" max="7941" width="12.125" style="63" customWidth="1"/>
    <col min="7942" max="7942" width="10.875" style="63"/>
    <col min="7943" max="7943" width="8.375" style="63" customWidth="1"/>
    <col min="7944" max="7944" width="13.375" style="63" customWidth="1"/>
    <col min="7945" max="7945" width="10.875" style="63"/>
    <col min="7946" max="7946" width="12.125" style="63" customWidth="1"/>
    <col min="7947" max="7947" width="9.625" style="63" customWidth="1"/>
    <col min="7948" max="7948" width="8.375" style="63" customWidth="1"/>
    <col min="7949" max="7949" width="13.375" style="63" customWidth="1"/>
    <col min="7950" max="8018" width="10.875" style="63"/>
    <col min="8019" max="8070" width="13.375" style="63" customWidth="1"/>
    <col min="8071" max="8192" width="10.875" style="63"/>
    <col min="8193" max="8193" width="13.375" style="63" customWidth="1"/>
    <col min="8194" max="8194" width="9.625" style="63" customWidth="1"/>
    <col min="8195" max="8195" width="14.625" style="63" customWidth="1"/>
    <col min="8196" max="8196" width="10.875" style="63"/>
    <col min="8197" max="8197" width="12.125" style="63" customWidth="1"/>
    <col min="8198" max="8198" width="10.875" style="63"/>
    <col min="8199" max="8199" width="8.375" style="63" customWidth="1"/>
    <col min="8200" max="8200" width="13.375" style="63" customWidth="1"/>
    <col min="8201" max="8201" width="10.875" style="63"/>
    <col min="8202" max="8202" width="12.125" style="63" customWidth="1"/>
    <col min="8203" max="8203" width="9.625" style="63" customWidth="1"/>
    <col min="8204" max="8204" width="8.375" style="63" customWidth="1"/>
    <col min="8205" max="8205" width="13.375" style="63" customWidth="1"/>
    <col min="8206" max="8274" width="10.875" style="63"/>
    <col min="8275" max="8326" width="13.375" style="63" customWidth="1"/>
    <col min="8327" max="8448" width="10.875" style="63"/>
    <col min="8449" max="8449" width="13.375" style="63" customWidth="1"/>
    <col min="8450" max="8450" width="9.625" style="63" customWidth="1"/>
    <col min="8451" max="8451" width="14.625" style="63" customWidth="1"/>
    <col min="8452" max="8452" width="10.875" style="63"/>
    <col min="8453" max="8453" width="12.125" style="63" customWidth="1"/>
    <col min="8454" max="8454" width="10.875" style="63"/>
    <col min="8455" max="8455" width="8.375" style="63" customWidth="1"/>
    <col min="8456" max="8456" width="13.375" style="63" customWidth="1"/>
    <col min="8457" max="8457" width="10.875" style="63"/>
    <col min="8458" max="8458" width="12.125" style="63" customWidth="1"/>
    <col min="8459" max="8459" width="9.625" style="63" customWidth="1"/>
    <col min="8460" max="8460" width="8.375" style="63" customWidth="1"/>
    <col min="8461" max="8461" width="13.375" style="63" customWidth="1"/>
    <col min="8462" max="8530" width="10.875" style="63"/>
    <col min="8531" max="8582" width="13.375" style="63" customWidth="1"/>
    <col min="8583" max="8704" width="10.875" style="63"/>
    <col min="8705" max="8705" width="13.375" style="63" customWidth="1"/>
    <col min="8706" max="8706" width="9.625" style="63" customWidth="1"/>
    <col min="8707" max="8707" width="14.625" style="63" customWidth="1"/>
    <col min="8708" max="8708" width="10.875" style="63"/>
    <col min="8709" max="8709" width="12.125" style="63" customWidth="1"/>
    <col min="8710" max="8710" width="10.875" style="63"/>
    <col min="8711" max="8711" width="8.375" style="63" customWidth="1"/>
    <col min="8712" max="8712" width="13.375" style="63" customWidth="1"/>
    <col min="8713" max="8713" width="10.875" style="63"/>
    <col min="8714" max="8714" width="12.125" style="63" customWidth="1"/>
    <col min="8715" max="8715" width="9.625" style="63" customWidth="1"/>
    <col min="8716" max="8716" width="8.375" style="63" customWidth="1"/>
    <col min="8717" max="8717" width="13.375" style="63" customWidth="1"/>
    <col min="8718" max="8786" width="10.875" style="63"/>
    <col min="8787" max="8838" width="13.375" style="63" customWidth="1"/>
    <col min="8839" max="8960" width="10.875" style="63"/>
    <col min="8961" max="8961" width="13.375" style="63" customWidth="1"/>
    <col min="8962" max="8962" width="9.625" style="63" customWidth="1"/>
    <col min="8963" max="8963" width="14.625" style="63" customWidth="1"/>
    <col min="8964" max="8964" width="10.875" style="63"/>
    <col min="8965" max="8965" width="12.125" style="63" customWidth="1"/>
    <col min="8966" max="8966" width="10.875" style="63"/>
    <col min="8967" max="8967" width="8.375" style="63" customWidth="1"/>
    <col min="8968" max="8968" width="13.375" style="63" customWidth="1"/>
    <col min="8969" max="8969" width="10.875" style="63"/>
    <col min="8970" max="8970" width="12.125" style="63" customWidth="1"/>
    <col min="8971" max="8971" width="9.625" style="63" customWidth="1"/>
    <col min="8972" max="8972" width="8.375" style="63" customWidth="1"/>
    <col min="8973" max="8973" width="13.375" style="63" customWidth="1"/>
    <col min="8974" max="9042" width="10.875" style="63"/>
    <col min="9043" max="9094" width="13.375" style="63" customWidth="1"/>
    <col min="9095" max="9216" width="10.875" style="63"/>
    <col min="9217" max="9217" width="13.375" style="63" customWidth="1"/>
    <col min="9218" max="9218" width="9.625" style="63" customWidth="1"/>
    <col min="9219" max="9219" width="14.625" style="63" customWidth="1"/>
    <col min="9220" max="9220" width="10.875" style="63"/>
    <col min="9221" max="9221" width="12.125" style="63" customWidth="1"/>
    <col min="9222" max="9222" width="10.875" style="63"/>
    <col min="9223" max="9223" width="8.375" style="63" customWidth="1"/>
    <col min="9224" max="9224" width="13.375" style="63" customWidth="1"/>
    <col min="9225" max="9225" width="10.875" style="63"/>
    <col min="9226" max="9226" width="12.125" style="63" customWidth="1"/>
    <col min="9227" max="9227" width="9.625" style="63" customWidth="1"/>
    <col min="9228" max="9228" width="8.375" style="63" customWidth="1"/>
    <col min="9229" max="9229" width="13.375" style="63" customWidth="1"/>
    <col min="9230" max="9298" width="10.875" style="63"/>
    <col min="9299" max="9350" width="13.375" style="63" customWidth="1"/>
    <col min="9351" max="9472" width="10.875" style="63"/>
    <col min="9473" max="9473" width="13.375" style="63" customWidth="1"/>
    <col min="9474" max="9474" width="9.625" style="63" customWidth="1"/>
    <col min="9475" max="9475" width="14.625" style="63" customWidth="1"/>
    <col min="9476" max="9476" width="10.875" style="63"/>
    <col min="9477" max="9477" width="12.125" style="63" customWidth="1"/>
    <col min="9478" max="9478" width="10.875" style="63"/>
    <col min="9479" max="9479" width="8.375" style="63" customWidth="1"/>
    <col min="9480" max="9480" width="13.375" style="63" customWidth="1"/>
    <col min="9481" max="9481" width="10.875" style="63"/>
    <col min="9482" max="9482" width="12.125" style="63" customWidth="1"/>
    <col min="9483" max="9483" width="9.625" style="63" customWidth="1"/>
    <col min="9484" max="9484" width="8.375" style="63" customWidth="1"/>
    <col min="9485" max="9485" width="13.375" style="63" customWidth="1"/>
    <col min="9486" max="9554" width="10.875" style="63"/>
    <col min="9555" max="9606" width="13.375" style="63" customWidth="1"/>
    <col min="9607" max="9728" width="10.875" style="63"/>
    <col min="9729" max="9729" width="13.375" style="63" customWidth="1"/>
    <col min="9730" max="9730" width="9.625" style="63" customWidth="1"/>
    <col min="9731" max="9731" width="14.625" style="63" customWidth="1"/>
    <col min="9732" max="9732" width="10.875" style="63"/>
    <col min="9733" max="9733" width="12.125" style="63" customWidth="1"/>
    <col min="9734" max="9734" width="10.875" style="63"/>
    <col min="9735" max="9735" width="8.375" style="63" customWidth="1"/>
    <col min="9736" max="9736" width="13.375" style="63" customWidth="1"/>
    <col min="9737" max="9737" width="10.875" style="63"/>
    <col min="9738" max="9738" width="12.125" style="63" customWidth="1"/>
    <col min="9739" max="9739" width="9.625" style="63" customWidth="1"/>
    <col min="9740" max="9740" width="8.375" style="63" customWidth="1"/>
    <col min="9741" max="9741" width="13.375" style="63" customWidth="1"/>
    <col min="9742" max="9810" width="10.875" style="63"/>
    <col min="9811" max="9862" width="13.375" style="63" customWidth="1"/>
    <col min="9863" max="9984" width="10.875" style="63"/>
    <col min="9985" max="9985" width="13.375" style="63" customWidth="1"/>
    <col min="9986" max="9986" width="9.625" style="63" customWidth="1"/>
    <col min="9987" max="9987" width="14.625" style="63" customWidth="1"/>
    <col min="9988" max="9988" width="10.875" style="63"/>
    <col min="9989" max="9989" width="12.125" style="63" customWidth="1"/>
    <col min="9990" max="9990" width="10.875" style="63"/>
    <col min="9991" max="9991" width="8.375" style="63" customWidth="1"/>
    <col min="9992" max="9992" width="13.375" style="63" customWidth="1"/>
    <col min="9993" max="9993" width="10.875" style="63"/>
    <col min="9994" max="9994" width="12.125" style="63" customWidth="1"/>
    <col min="9995" max="9995" width="9.625" style="63" customWidth="1"/>
    <col min="9996" max="9996" width="8.375" style="63" customWidth="1"/>
    <col min="9997" max="9997" width="13.375" style="63" customWidth="1"/>
    <col min="9998" max="10066" width="10.875" style="63"/>
    <col min="10067" max="10118" width="13.375" style="63" customWidth="1"/>
    <col min="10119" max="10240" width="10.875" style="63"/>
    <col min="10241" max="10241" width="13.375" style="63" customWidth="1"/>
    <col min="10242" max="10242" width="9.625" style="63" customWidth="1"/>
    <col min="10243" max="10243" width="14.625" style="63" customWidth="1"/>
    <col min="10244" max="10244" width="10.875" style="63"/>
    <col min="10245" max="10245" width="12.125" style="63" customWidth="1"/>
    <col min="10246" max="10246" width="10.875" style="63"/>
    <col min="10247" max="10247" width="8.375" style="63" customWidth="1"/>
    <col min="10248" max="10248" width="13.375" style="63" customWidth="1"/>
    <col min="10249" max="10249" width="10.875" style="63"/>
    <col min="10250" max="10250" width="12.125" style="63" customWidth="1"/>
    <col min="10251" max="10251" width="9.625" style="63" customWidth="1"/>
    <col min="10252" max="10252" width="8.375" style="63" customWidth="1"/>
    <col min="10253" max="10253" width="13.375" style="63" customWidth="1"/>
    <col min="10254" max="10322" width="10.875" style="63"/>
    <col min="10323" max="10374" width="13.375" style="63" customWidth="1"/>
    <col min="10375" max="10496" width="10.875" style="63"/>
    <col min="10497" max="10497" width="13.375" style="63" customWidth="1"/>
    <col min="10498" max="10498" width="9.625" style="63" customWidth="1"/>
    <col min="10499" max="10499" width="14.625" style="63" customWidth="1"/>
    <col min="10500" max="10500" width="10.875" style="63"/>
    <col min="10501" max="10501" width="12.125" style="63" customWidth="1"/>
    <col min="10502" max="10502" width="10.875" style="63"/>
    <col min="10503" max="10503" width="8.375" style="63" customWidth="1"/>
    <col min="10504" max="10504" width="13.375" style="63" customWidth="1"/>
    <col min="10505" max="10505" width="10.875" style="63"/>
    <col min="10506" max="10506" width="12.125" style="63" customWidth="1"/>
    <col min="10507" max="10507" width="9.625" style="63" customWidth="1"/>
    <col min="10508" max="10508" width="8.375" style="63" customWidth="1"/>
    <col min="10509" max="10509" width="13.375" style="63" customWidth="1"/>
    <col min="10510" max="10578" width="10.875" style="63"/>
    <col min="10579" max="10630" width="13.375" style="63" customWidth="1"/>
    <col min="10631" max="10752" width="10.875" style="63"/>
    <col min="10753" max="10753" width="13.375" style="63" customWidth="1"/>
    <col min="10754" max="10754" width="9.625" style="63" customWidth="1"/>
    <col min="10755" max="10755" width="14.625" style="63" customWidth="1"/>
    <col min="10756" max="10756" width="10.875" style="63"/>
    <col min="10757" max="10757" width="12.125" style="63" customWidth="1"/>
    <col min="10758" max="10758" width="10.875" style="63"/>
    <col min="10759" max="10759" width="8.375" style="63" customWidth="1"/>
    <col min="10760" max="10760" width="13.375" style="63" customWidth="1"/>
    <col min="10761" max="10761" width="10.875" style="63"/>
    <col min="10762" max="10762" width="12.125" style="63" customWidth="1"/>
    <col min="10763" max="10763" width="9.625" style="63" customWidth="1"/>
    <col min="10764" max="10764" width="8.375" style="63" customWidth="1"/>
    <col min="10765" max="10765" width="13.375" style="63" customWidth="1"/>
    <col min="10766" max="10834" width="10.875" style="63"/>
    <col min="10835" max="10886" width="13.375" style="63" customWidth="1"/>
    <col min="10887" max="11008" width="10.875" style="63"/>
    <col min="11009" max="11009" width="13.375" style="63" customWidth="1"/>
    <col min="11010" max="11010" width="9.625" style="63" customWidth="1"/>
    <col min="11011" max="11011" width="14.625" style="63" customWidth="1"/>
    <col min="11012" max="11012" width="10.875" style="63"/>
    <col min="11013" max="11013" width="12.125" style="63" customWidth="1"/>
    <col min="11014" max="11014" width="10.875" style="63"/>
    <col min="11015" max="11015" width="8.375" style="63" customWidth="1"/>
    <col min="11016" max="11016" width="13.375" style="63" customWidth="1"/>
    <col min="11017" max="11017" width="10.875" style="63"/>
    <col min="11018" max="11018" width="12.125" style="63" customWidth="1"/>
    <col min="11019" max="11019" width="9.625" style="63" customWidth="1"/>
    <col min="11020" max="11020" width="8.375" style="63" customWidth="1"/>
    <col min="11021" max="11021" width="13.375" style="63" customWidth="1"/>
    <col min="11022" max="11090" width="10.875" style="63"/>
    <col min="11091" max="11142" width="13.375" style="63" customWidth="1"/>
    <col min="11143" max="11264" width="10.875" style="63"/>
    <col min="11265" max="11265" width="13.375" style="63" customWidth="1"/>
    <col min="11266" max="11266" width="9.625" style="63" customWidth="1"/>
    <col min="11267" max="11267" width="14.625" style="63" customWidth="1"/>
    <col min="11268" max="11268" width="10.875" style="63"/>
    <col min="11269" max="11269" width="12.125" style="63" customWidth="1"/>
    <col min="11270" max="11270" width="10.875" style="63"/>
    <col min="11271" max="11271" width="8.375" style="63" customWidth="1"/>
    <col min="11272" max="11272" width="13.375" style="63" customWidth="1"/>
    <col min="11273" max="11273" width="10.875" style="63"/>
    <col min="11274" max="11274" width="12.125" style="63" customWidth="1"/>
    <col min="11275" max="11275" width="9.625" style="63" customWidth="1"/>
    <col min="11276" max="11276" width="8.375" style="63" customWidth="1"/>
    <col min="11277" max="11277" width="13.375" style="63" customWidth="1"/>
    <col min="11278" max="11346" width="10.875" style="63"/>
    <col min="11347" max="11398" width="13.375" style="63" customWidth="1"/>
    <col min="11399" max="11520" width="10.875" style="63"/>
    <col min="11521" max="11521" width="13.375" style="63" customWidth="1"/>
    <col min="11522" max="11522" width="9.625" style="63" customWidth="1"/>
    <col min="11523" max="11523" width="14.625" style="63" customWidth="1"/>
    <col min="11524" max="11524" width="10.875" style="63"/>
    <col min="11525" max="11525" width="12.125" style="63" customWidth="1"/>
    <col min="11526" max="11526" width="10.875" style="63"/>
    <col min="11527" max="11527" width="8.375" style="63" customWidth="1"/>
    <col min="11528" max="11528" width="13.375" style="63" customWidth="1"/>
    <col min="11529" max="11529" width="10.875" style="63"/>
    <col min="11530" max="11530" width="12.125" style="63" customWidth="1"/>
    <col min="11531" max="11531" width="9.625" style="63" customWidth="1"/>
    <col min="11532" max="11532" width="8.375" style="63" customWidth="1"/>
    <col min="11533" max="11533" width="13.375" style="63" customWidth="1"/>
    <col min="11534" max="11602" width="10.875" style="63"/>
    <col min="11603" max="11654" width="13.375" style="63" customWidth="1"/>
    <col min="11655" max="11776" width="10.875" style="63"/>
    <col min="11777" max="11777" width="13.375" style="63" customWidth="1"/>
    <col min="11778" max="11778" width="9.625" style="63" customWidth="1"/>
    <col min="11779" max="11779" width="14.625" style="63" customWidth="1"/>
    <col min="11780" max="11780" width="10.875" style="63"/>
    <col min="11781" max="11781" width="12.125" style="63" customWidth="1"/>
    <col min="11782" max="11782" width="10.875" style="63"/>
    <col min="11783" max="11783" width="8.375" style="63" customWidth="1"/>
    <col min="11784" max="11784" width="13.375" style="63" customWidth="1"/>
    <col min="11785" max="11785" width="10.875" style="63"/>
    <col min="11786" max="11786" width="12.125" style="63" customWidth="1"/>
    <col min="11787" max="11787" width="9.625" style="63" customWidth="1"/>
    <col min="11788" max="11788" width="8.375" style="63" customWidth="1"/>
    <col min="11789" max="11789" width="13.375" style="63" customWidth="1"/>
    <col min="11790" max="11858" width="10.875" style="63"/>
    <col min="11859" max="11910" width="13.375" style="63" customWidth="1"/>
    <col min="11911" max="12032" width="10.875" style="63"/>
    <col min="12033" max="12033" width="13.375" style="63" customWidth="1"/>
    <col min="12034" max="12034" width="9.625" style="63" customWidth="1"/>
    <col min="12035" max="12035" width="14.625" style="63" customWidth="1"/>
    <col min="12036" max="12036" width="10.875" style="63"/>
    <col min="12037" max="12037" width="12.125" style="63" customWidth="1"/>
    <col min="12038" max="12038" width="10.875" style="63"/>
    <col min="12039" max="12039" width="8.375" style="63" customWidth="1"/>
    <col min="12040" max="12040" width="13.375" style="63" customWidth="1"/>
    <col min="12041" max="12041" width="10.875" style="63"/>
    <col min="12042" max="12042" width="12.125" style="63" customWidth="1"/>
    <col min="12043" max="12043" width="9.625" style="63" customWidth="1"/>
    <col min="12044" max="12044" width="8.375" style="63" customWidth="1"/>
    <col min="12045" max="12045" width="13.375" style="63" customWidth="1"/>
    <col min="12046" max="12114" width="10.875" style="63"/>
    <col min="12115" max="12166" width="13.375" style="63" customWidth="1"/>
    <col min="12167" max="12288" width="10.875" style="63"/>
    <col min="12289" max="12289" width="13.375" style="63" customWidth="1"/>
    <col min="12290" max="12290" width="9.625" style="63" customWidth="1"/>
    <col min="12291" max="12291" width="14.625" style="63" customWidth="1"/>
    <col min="12292" max="12292" width="10.875" style="63"/>
    <col min="12293" max="12293" width="12.125" style="63" customWidth="1"/>
    <col min="12294" max="12294" width="10.875" style="63"/>
    <col min="12295" max="12295" width="8.375" style="63" customWidth="1"/>
    <col min="12296" max="12296" width="13.375" style="63" customWidth="1"/>
    <col min="12297" max="12297" width="10.875" style="63"/>
    <col min="12298" max="12298" width="12.125" style="63" customWidth="1"/>
    <col min="12299" max="12299" width="9.625" style="63" customWidth="1"/>
    <col min="12300" max="12300" width="8.375" style="63" customWidth="1"/>
    <col min="12301" max="12301" width="13.375" style="63" customWidth="1"/>
    <col min="12302" max="12370" width="10.875" style="63"/>
    <col min="12371" max="12422" width="13.375" style="63" customWidth="1"/>
    <col min="12423" max="12544" width="10.875" style="63"/>
    <col min="12545" max="12545" width="13.375" style="63" customWidth="1"/>
    <col min="12546" max="12546" width="9.625" style="63" customWidth="1"/>
    <col min="12547" max="12547" width="14.625" style="63" customWidth="1"/>
    <col min="12548" max="12548" width="10.875" style="63"/>
    <col min="12549" max="12549" width="12.125" style="63" customWidth="1"/>
    <col min="12550" max="12550" width="10.875" style="63"/>
    <col min="12551" max="12551" width="8.375" style="63" customWidth="1"/>
    <col min="12552" max="12552" width="13.375" style="63" customWidth="1"/>
    <col min="12553" max="12553" width="10.875" style="63"/>
    <col min="12554" max="12554" width="12.125" style="63" customWidth="1"/>
    <col min="12555" max="12555" width="9.625" style="63" customWidth="1"/>
    <col min="12556" max="12556" width="8.375" style="63" customWidth="1"/>
    <col min="12557" max="12557" width="13.375" style="63" customWidth="1"/>
    <col min="12558" max="12626" width="10.875" style="63"/>
    <col min="12627" max="12678" width="13.375" style="63" customWidth="1"/>
    <col min="12679" max="12800" width="10.875" style="63"/>
    <col min="12801" max="12801" width="13.375" style="63" customWidth="1"/>
    <col min="12802" max="12802" width="9.625" style="63" customWidth="1"/>
    <col min="12803" max="12803" width="14.625" style="63" customWidth="1"/>
    <col min="12804" max="12804" width="10.875" style="63"/>
    <col min="12805" max="12805" width="12.125" style="63" customWidth="1"/>
    <col min="12806" max="12806" width="10.875" style="63"/>
    <col min="12807" max="12807" width="8.375" style="63" customWidth="1"/>
    <col min="12808" max="12808" width="13.375" style="63" customWidth="1"/>
    <col min="12809" max="12809" width="10.875" style="63"/>
    <col min="12810" max="12810" width="12.125" style="63" customWidth="1"/>
    <col min="12811" max="12811" width="9.625" style="63" customWidth="1"/>
    <col min="12812" max="12812" width="8.375" style="63" customWidth="1"/>
    <col min="12813" max="12813" width="13.375" style="63" customWidth="1"/>
    <col min="12814" max="12882" width="10.875" style="63"/>
    <col min="12883" max="12934" width="13.375" style="63" customWidth="1"/>
    <col min="12935" max="13056" width="10.875" style="63"/>
    <col min="13057" max="13057" width="13.375" style="63" customWidth="1"/>
    <col min="13058" max="13058" width="9.625" style="63" customWidth="1"/>
    <col min="13059" max="13059" width="14.625" style="63" customWidth="1"/>
    <col min="13060" max="13060" width="10.875" style="63"/>
    <col min="13061" max="13061" width="12.125" style="63" customWidth="1"/>
    <col min="13062" max="13062" width="10.875" style="63"/>
    <col min="13063" max="13063" width="8.375" style="63" customWidth="1"/>
    <col min="13064" max="13064" width="13.375" style="63" customWidth="1"/>
    <col min="13065" max="13065" width="10.875" style="63"/>
    <col min="13066" max="13066" width="12.125" style="63" customWidth="1"/>
    <col min="13067" max="13067" width="9.625" style="63" customWidth="1"/>
    <col min="13068" max="13068" width="8.375" style="63" customWidth="1"/>
    <col min="13069" max="13069" width="13.375" style="63" customWidth="1"/>
    <col min="13070" max="13138" width="10.875" style="63"/>
    <col min="13139" max="13190" width="13.375" style="63" customWidth="1"/>
    <col min="13191" max="13312" width="10.875" style="63"/>
    <col min="13313" max="13313" width="13.375" style="63" customWidth="1"/>
    <col min="13314" max="13314" width="9.625" style="63" customWidth="1"/>
    <col min="13315" max="13315" width="14.625" style="63" customWidth="1"/>
    <col min="13316" max="13316" width="10.875" style="63"/>
    <col min="13317" max="13317" width="12.125" style="63" customWidth="1"/>
    <col min="13318" max="13318" width="10.875" style="63"/>
    <col min="13319" max="13319" width="8.375" style="63" customWidth="1"/>
    <col min="13320" max="13320" width="13.375" style="63" customWidth="1"/>
    <col min="13321" max="13321" width="10.875" style="63"/>
    <col min="13322" max="13322" width="12.125" style="63" customWidth="1"/>
    <col min="13323" max="13323" width="9.625" style="63" customWidth="1"/>
    <col min="13324" max="13324" width="8.375" style="63" customWidth="1"/>
    <col min="13325" max="13325" width="13.375" style="63" customWidth="1"/>
    <col min="13326" max="13394" width="10.875" style="63"/>
    <col min="13395" max="13446" width="13.375" style="63" customWidth="1"/>
    <col min="13447" max="13568" width="10.875" style="63"/>
    <col min="13569" max="13569" width="13.375" style="63" customWidth="1"/>
    <col min="13570" max="13570" width="9.625" style="63" customWidth="1"/>
    <col min="13571" max="13571" width="14.625" style="63" customWidth="1"/>
    <col min="13572" max="13572" width="10.875" style="63"/>
    <col min="13573" max="13573" width="12.125" style="63" customWidth="1"/>
    <col min="13574" max="13574" width="10.875" style="63"/>
    <col min="13575" max="13575" width="8.375" style="63" customWidth="1"/>
    <col min="13576" max="13576" width="13.375" style="63" customWidth="1"/>
    <col min="13577" max="13577" width="10.875" style="63"/>
    <col min="13578" max="13578" width="12.125" style="63" customWidth="1"/>
    <col min="13579" max="13579" width="9.625" style="63" customWidth="1"/>
    <col min="13580" max="13580" width="8.375" style="63" customWidth="1"/>
    <col min="13581" max="13581" width="13.375" style="63" customWidth="1"/>
    <col min="13582" max="13650" width="10.875" style="63"/>
    <col min="13651" max="13702" width="13.375" style="63" customWidth="1"/>
    <col min="13703" max="13824" width="10.875" style="63"/>
    <col min="13825" max="13825" width="13.375" style="63" customWidth="1"/>
    <col min="13826" max="13826" width="9.625" style="63" customWidth="1"/>
    <col min="13827" max="13827" width="14.625" style="63" customWidth="1"/>
    <col min="13828" max="13828" width="10.875" style="63"/>
    <col min="13829" max="13829" width="12.125" style="63" customWidth="1"/>
    <col min="13830" max="13830" width="10.875" style="63"/>
    <col min="13831" max="13831" width="8.375" style="63" customWidth="1"/>
    <col min="13832" max="13832" width="13.375" style="63" customWidth="1"/>
    <col min="13833" max="13833" width="10.875" style="63"/>
    <col min="13834" max="13834" width="12.125" style="63" customWidth="1"/>
    <col min="13835" max="13835" width="9.625" style="63" customWidth="1"/>
    <col min="13836" max="13836" width="8.375" style="63" customWidth="1"/>
    <col min="13837" max="13837" width="13.375" style="63" customWidth="1"/>
    <col min="13838" max="13906" width="10.875" style="63"/>
    <col min="13907" max="13958" width="13.375" style="63" customWidth="1"/>
    <col min="13959" max="14080" width="10.875" style="63"/>
    <col min="14081" max="14081" width="13.375" style="63" customWidth="1"/>
    <col min="14082" max="14082" width="9.625" style="63" customWidth="1"/>
    <col min="14083" max="14083" width="14.625" style="63" customWidth="1"/>
    <col min="14084" max="14084" width="10.875" style="63"/>
    <col min="14085" max="14085" width="12.125" style="63" customWidth="1"/>
    <col min="14086" max="14086" width="10.875" style="63"/>
    <col min="14087" max="14087" width="8.375" style="63" customWidth="1"/>
    <col min="14088" max="14088" width="13.375" style="63" customWidth="1"/>
    <col min="14089" max="14089" width="10.875" style="63"/>
    <col min="14090" max="14090" width="12.125" style="63" customWidth="1"/>
    <col min="14091" max="14091" width="9.625" style="63" customWidth="1"/>
    <col min="14092" max="14092" width="8.375" style="63" customWidth="1"/>
    <col min="14093" max="14093" width="13.375" style="63" customWidth="1"/>
    <col min="14094" max="14162" width="10.875" style="63"/>
    <col min="14163" max="14214" width="13.375" style="63" customWidth="1"/>
    <col min="14215" max="14336" width="10.875" style="63"/>
    <col min="14337" max="14337" width="13.375" style="63" customWidth="1"/>
    <col min="14338" max="14338" width="9.625" style="63" customWidth="1"/>
    <col min="14339" max="14339" width="14.625" style="63" customWidth="1"/>
    <col min="14340" max="14340" width="10.875" style="63"/>
    <col min="14341" max="14341" width="12.125" style="63" customWidth="1"/>
    <col min="14342" max="14342" width="10.875" style="63"/>
    <col min="14343" max="14343" width="8.375" style="63" customWidth="1"/>
    <col min="14344" max="14344" width="13.375" style="63" customWidth="1"/>
    <col min="14345" max="14345" width="10.875" style="63"/>
    <col min="14346" max="14346" width="12.125" style="63" customWidth="1"/>
    <col min="14347" max="14347" width="9.625" style="63" customWidth="1"/>
    <col min="14348" max="14348" width="8.375" style="63" customWidth="1"/>
    <col min="14349" max="14349" width="13.375" style="63" customWidth="1"/>
    <col min="14350" max="14418" width="10.875" style="63"/>
    <col min="14419" max="14470" width="13.375" style="63" customWidth="1"/>
    <col min="14471" max="14592" width="10.875" style="63"/>
    <col min="14593" max="14593" width="13.375" style="63" customWidth="1"/>
    <col min="14594" max="14594" width="9.625" style="63" customWidth="1"/>
    <col min="14595" max="14595" width="14.625" style="63" customWidth="1"/>
    <col min="14596" max="14596" width="10.875" style="63"/>
    <col min="14597" max="14597" width="12.125" style="63" customWidth="1"/>
    <col min="14598" max="14598" width="10.875" style="63"/>
    <col min="14599" max="14599" width="8.375" style="63" customWidth="1"/>
    <col min="14600" max="14600" width="13.375" style="63" customWidth="1"/>
    <col min="14601" max="14601" width="10.875" style="63"/>
    <col min="14602" max="14602" width="12.125" style="63" customWidth="1"/>
    <col min="14603" max="14603" width="9.625" style="63" customWidth="1"/>
    <col min="14604" max="14604" width="8.375" style="63" customWidth="1"/>
    <col min="14605" max="14605" width="13.375" style="63" customWidth="1"/>
    <col min="14606" max="14674" width="10.875" style="63"/>
    <col min="14675" max="14726" width="13.375" style="63" customWidth="1"/>
    <col min="14727" max="14848" width="10.875" style="63"/>
    <col min="14849" max="14849" width="13.375" style="63" customWidth="1"/>
    <col min="14850" max="14850" width="9.625" style="63" customWidth="1"/>
    <col min="14851" max="14851" width="14.625" style="63" customWidth="1"/>
    <col min="14852" max="14852" width="10.875" style="63"/>
    <col min="14853" max="14853" width="12.125" style="63" customWidth="1"/>
    <col min="14854" max="14854" width="10.875" style="63"/>
    <col min="14855" max="14855" width="8.375" style="63" customWidth="1"/>
    <col min="14856" max="14856" width="13.375" style="63" customWidth="1"/>
    <col min="14857" max="14857" width="10.875" style="63"/>
    <col min="14858" max="14858" width="12.125" style="63" customWidth="1"/>
    <col min="14859" max="14859" width="9.625" style="63" customWidth="1"/>
    <col min="14860" max="14860" width="8.375" style="63" customWidth="1"/>
    <col min="14861" max="14861" width="13.375" style="63" customWidth="1"/>
    <col min="14862" max="14930" width="10.875" style="63"/>
    <col min="14931" max="14982" width="13.375" style="63" customWidth="1"/>
    <col min="14983" max="15104" width="10.875" style="63"/>
    <col min="15105" max="15105" width="13.375" style="63" customWidth="1"/>
    <col min="15106" max="15106" width="9.625" style="63" customWidth="1"/>
    <col min="15107" max="15107" width="14.625" style="63" customWidth="1"/>
    <col min="15108" max="15108" width="10.875" style="63"/>
    <col min="15109" max="15109" width="12.125" style="63" customWidth="1"/>
    <col min="15110" max="15110" width="10.875" style="63"/>
    <col min="15111" max="15111" width="8.375" style="63" customWidth="1"/>
    <col min="15112" max="15112" width="13.375" style="63" customWidth="1"/>
    <col min="15113" max="15113" width="10.875" style="63"/>
    <col min="15114" max="15114" width="12.125" style="63" customWidth="1"/>
    <col min="15115" max="15115" width="9.625" style="63" customWidth="1"/>
    <col min="15116" max="15116" width="8.375" style="63" customWidth="1"/>
    <col min="15117" max="15117" width="13.375" style="63" customWidth="1"/>
    <col min="15118" max="15186" width="10.875" style="63"/>
    <col min="15187" max="15238" width="13.375" style="63" customWidth="1"/>
    <col min="15239" max="15360" width="10.875" style="63"/>
    <col min="15361" max="15361" width="13.375" style="63" customWidth="1"/>
    <col min="15362" max="15362" width="9.625" style="63" customWidth="1"/>
    <col min="15363" max="15363" width="14.625" style="63" customWidth="1"/>
    <col min="15364" max="15364" width="10.875" style="63"/>
    <col min="15365" max="15365" width="12.125" style="63" customWidth="1"/>
    <col min="15366" max="15366" width="10.875" style="63"/>
    <col min="15367" max="15367" width="8.375" style="63" customWidth="1"/>
    <col min="15368" max="15368" width="13.375" style="63" customWidth="1"/>
    <col min="15369" max="15369" width="10.875" style="63"/>
    <col min="15370" max="15370" width="12.125" style="63" customWidth="1"/>
    <col min="15371" max="15371" width="9.625" style="63" customWidth="1"/>
    <col min="15372" max="15372" width="8.375" style="63" customWidth="1"/>
    <col min="15373" max="15373" width="13.375" style="63" customWidth="1"/>
    <col min="15374" max="15442" width="10.875" style="63"/>
    <col min="15443" max="15494" width="13.375" style="63" customWidth="1"/>
    <col min="15495" max="15616" width="10.875" style="63"/>
    <col min="15617" max="15617" width="13.375" style="63" customWidth="1"/>
    <col min="15618" max="15618" width="9.625" style="63" customWidth="1"/>
    <col min="15619" max="15619" width="14.625" style="63" customWidth="1"/>
    <col min="15620" max="15620" width="10.875" style="63"/>
    <col min="15621" max="15621" width="12.125" style="63" customWidth="1"/>
    <col min="15622" max="15622" width="10.875" style="63"/>
    <col min="15623" max="15623" width="8.375" style="63" customWidth="1"/>
    <col min="15624" max="15624" width="13.375" style="63" customWidth="1"/>
    <col min="15625" max="15625" width="10.875" style="63"/>
    <col min="15626" max="15626" width="12.125" style="63" customWidth="1"/>
    <col min="15627" max="15627" width="9.625" style="63" customWidth="1"/>
    <col min="15628" max="15628" width="8.375" style="63" customWidth="1"/>
    <col min="15629" max="15629" width="13.375" style="63" customWidth="1"/>
    <col min="15630" max="15698" width="10.875" style="63"/>
    <col min="15699" max="15750" width="13.375" style="63" customWidth="1"/>
    <col min="15751" max="15872" width="10.875" style="63"/>
    <col min="15873" max="15873" width="13.375" style="63" customWidth="1"/>
    <col min="15874" max="15874" width="9.625" style="63" customWidth="1"/>
    <col min="15875" max="15875" width="14.625" style="63" customWidth="1"/>
    <col min="15876" max="15876" width="10.875" style="63"/>
    <col min="15877" max="15877" width="12.125" style="63" customWidth="1"/>
    <col min="15878" max="15878" width="10.875" style="63"/>
    <col min="15879" max="15879" width="8.375" style="63" customWidth="1"/>
    <col min="15880" max="15880" width="13.375" style="63" customWidth="1"/>
    <col min="15881" max="15881" width="10.875" style="63"/>
    <col min="15882" max="15882" width="12.125" style="63" customWidth="1"/>
    <col min="15883" max="15883" width="9.625" style="63" customWidth="1"/>
    <col min="15884" max="15884" width="8.375" style="63" customWidth="1"/>
    <col min="15885" max="15885" width="13.375" style="63" customWidth="1"/>
    <col min="15886" max="15954" width="10.875" style="63"/>
    <col min="15955" max="16006" width="13.375" style="63" customWidth="1"/>
    <col min="16007" max="16128" width="10.875" style="63"/>
    <col min="16129" max="16129" width="13.375" style="63" customWidth="1"/>
    <col min="16130" max="16130" width="9.625" style="63" customWidth="1"/>
    <col min="16131" max="16131" width="14.625" style="63" customWidth="1"/>
    <col min="16132" max="16132" width="10.875" style="63"/>
    <col min="16133" max="16133" width="12.125" style="63" customWidth="1"/>
    <col min="16134" max="16134" width="10.875" style="63"/>
    <col min="16135" max="16135" width="8.375" style="63" customWidth="1"/>
    <col min="16136" max="16136" width="13.375" style="63" customWidth="1"/>
    <col min="16137" max="16137" width="10.875" style="63"/>
    <col min="16138" max="16138" width="12.125" style="63" customWidth="1"/>
    <col min="16139" max="16139" width="9.625" style="63" customWidth="1"/>
    <col min="16140" max="16140" width="8.375" style="63" customWidth="1"/>
    <col min="16141" max="16141" width="13.375" style="63" customWidth="1"/>
    <col min="16142" max="16210" width="10.875" style="63"/>
    <col min="16211" max="16262" width="13.375" style="63" customWidth="1"/>
    <col min="16263" max="16384" width="10.875" style="63"/>
  </cols>
  <sheetData>
    <row r="1" spans="1:13" x14ac:dyDescent="0.2">
      <c r="A1" s="62"/>
    </row>
    <row r="6" spans="1:13" x14ac:dyDescent="0.2">
      <c r="F6" s="64" t="s">
        <v>456</v>
      </c>
    </row>
    <row r="7" spans="1:13" ht="18" thickBot="1" x14ac:dyDescent="0.2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2">
      <c r="D8" s="66"/>
      <c r="I8" s="66"/>
    </row>
    <row r="9" spans="1:13" x14ac:dyDescent="0.2">
      <c r="D9" s="67"/>
      <c r="E9" s="68" t="s">
        <v>457</v>
      </c>
      <c r="F9" s="69"/>
      <c r="G9" s="69"/>
      <c r="H9" s="69"/>
      <c r="I9" s="67"/>
      <c r="J9" s="68" t="s">
        <v>458</v>
      </c>
      <c r="K9" s="69"/>
      <c r="L9" s="69"/>
      <c r="M9" s="69"/>
    </row>
    <row r="10" spans="1:13" x14ac:dyDescent="0.2">
      <c r="D10" s="70" t="s">
        <v>459</v>
      </c>
      <c r="E10" s="70" t="s">
        <v>460</v>
      </c>
      <c r="F10" s="70" t="s">
        <v>461</v>
      </c>
      <c r="G10" s="70" t="s">
        <v>462</v>
      </c>
      <c r="H10" s="66"/>
      <c r="I10" s="70" t="s">
        <v>459</v>
      </c>
      <c r="J10" s="70" t="s">
        <v>460</v>
      </c>
      <c r="K10" s="70" t="s">
        <v>461</v>
      </c>
      <c r="L10" s="70" t="s">
        <v>462</v>
      </c>
      <c r="M10" s="66"/>
    </row>
    <row r="11" spans="1:13" x14ac:dyDescent="0.2">
      <c r="D11" s="70" t="s">
        <v>463</v>
      </c>
      <c r="E11" s="70" t="s">
        <v>464</v>
      </c>
      <c r="F11" s="70" t="s">
        <v>465</v>
      </c>
      <c r="G11" s="70" t="s">
        <v>466</v>
      </c>
      <c r="H11" s="70" t="s">
        <v>467</v>
      </c>
      <c r="I11" s="70" t="s">
        <v>463</v>
      </c>
      <c r="J11" s="70" t="s">
        <v>464</v>
      </c>
      <c r="K11" s="70" t="s">
        <v>465</v>
      </c>
      <c r="L11" s="70" t="s">
        <v>466</v>
      </c>
      <c r="M11" s="70" t="s">
        <v>467</v>
      </c>
    </row>
    <row r="12" spans="1:13" x14ac:dyDescent="0.2">
      <c r="D12" s="70" t="s">
        <v>468</v>
      </c>
      <c r="E12" s="70" t="s">
        <v>469</v>
      </c>
      <c r="F12" s="70" t="s">
        <v>470</v>
      </c>
      <c r="G12" s="70" t="s">
        <v>471</v>
      </c>
      <c r="H12" s="70" t="s">
        <v>472</v>
      </c>
      <c r="I12" s="70" t="s">
        <v>468</v>
      </c>
      <c r="J12" s="70" t="s">
        <v>469</v>
      </c>
      <c r="K12" s="70" t="s">
        <v>470</v>
      </c>
      <c r="L12" s="70" t="s">
        <v>471</v>
      </c>
      <c r="M12" s="70" t="s">
        <v>472</v>
      </c>
    </row>
    <row r="13" spans="1:13" x14ac:dyDescent="0.2">
      <c r="B13" s="68" t="s">
        <v>473</v>
      </c>
      <c r="C13" s="69"/>
      <c r="D13" s="67"/>
      <c r="E13" s="71" t="s">
        <v>474</v>
      </c>
      <c r="F13" s="71" t="s">
        <v>474</v>
      </c>
      <c r="G13" s="67"/>
      <c r="H13" s="67"/>
      <c r="I13" s="67"/>
      <c r="J13" s="71" t="s">
        <v>474</v>
      </c>
      <c r="K13" s="71" t="s">
        <v>474</v>
      </c>
      <c r="L13" s="67"/>
      <c r="M13" s="67"/>
    </row>
    <row r="14" spans="1:13" x14ac:dyDescent="0.2">
      <c r="D14" s="72" t="s">
        <v>475</v>
      </c>
      <c r="E14" s="73" t="s">
        <v>475</v>
      </c>
      <c r="F14" s="73" t="s">
        <v>475</v>
      </c>
      <c r="G14" s="73" t="s">
        <v>475</v>
      </c>
      <c r="H14" s="73" t="s">
        <v>476</v>
      </c>
      <c r="I14" s="73" t="s">
        <v>475</v>
      </c>
      <c r="J14" s="73" t="s">
        <v>475</v>
      </c>
      <c r="K14" s="73" t="s">
        <v>475</v>
      </c>
      <c r="L14" s="73" t="s">
        <v>475</v>
      </c>
      <c r="M14" s="73" t="s">
        <v>476</v>
      </c>
    </row>
    <row r="15" spans="1:13" x14ac:dyDescent="0.2">
      <c r="B15" s="62" t="s">
        <v>477</v>
      </c>
      <c r="C15" s="62" t="s">
        <v>478</v>
      </c>
      <c r="D15" s="74">
        <v>10.4</v>
      </c>
      <c r="E15" s="75">
        <v>1.2</v>
      </c>
      <c r="F15" s="75">
        <v>3.1</v>
      </c>
      <c r="G15" s="76">
        <v>3</v>
      </c>
      <c r="H15" s="76">
        <v>19000</v>
      </c>
      <c r="I15" s="75">
        <v>10</v>
      </c>
      <c r="J15" s="75">
        <v>1.5</v>
      </c>
      <c r="K15" s="75">
        <v>3.1</v>
      </c>
      <c r="L15" s="76">
        <v>5</v>
      </c>
      <c r="M15" s="76">
        <v>31000</v>
      </c>
    </row>
    <row r="16" spans="1:13" x14ac:dyDescent="0.2">
      <c r="C16" s="62" t="s">
        <v>479</v>
      </c>
      <c r="D16" s="74">
        <v>10.6</v>
      </c>
      <c r="E16" s="75">
        <v>1.4</v>
      </c>
      <c r="F16" s="75">
        <v>2.9</v>
      </c>
      <c r="G16" s="76">
        <v>3</v>
      </c>
      <c r="H16" s="76">
        <v>86000</v>
      </c>
      <c r="I16" s="75">
        <v>10.4</v>
      </c>
      <c r="J16" s="75">
        <v>1.6</v>
      </c>
      <c r="K16" s="75">
        <v>2.9</v>
      </c>
      <c r="L16" s="76">
        <v>6</v>
      </c>
      <c r="M16" s="76">
        <v>55000</v>
      </c>
    </row>
    <row r="17" spans="2:13" x14ac:dyDescent="0.2">
      <c r="C17" s="62" t="s">
        <v>480</v>
      </c>
      <c r="D17" s="74">
        <v>9.6999999999999993</v>
      </c>
      <c r="E17" s="75">
        <v>1.6</v>
      </c>
      <c r="F17" s="75">
        <v>3.7</v>
      </c>
      <c r="G17" s="76">
        <v>4</v>
      </c>
      <c r="H17" s="76">
        <v>210000</v>
      </c>
      <c r="I17" s="75">
        <v>9.6</v>
      </c>
      <c r="J17" s="75">
        <v>1.9</v>
      </c>
      <c r="K17" s="75">
        <v>3.6</v>
      </c>
      <c r="L17" s="76">
        <v>5</v>
      </c>
      <c r="M17" s="76">
        <v>660000</v>
      </c>
    </row>
    <row r="18" spans="2:13" x14ac:dyDescent="0.2">
      <c r="C18" s="62" t="s">
        <v>481</v>
      </c>
      <c r="D18" s="74">
        <v>8.5</v>
      </c>
      <c r="E18" s="75">
        <v>2</v>
      </c>
      <c r="F18" s="75">
        <v>3.6</v>
      </c>
      <c r="G18" s="76">
        <v>6</v>
      </c>
      <c r="H18" s="76">
        <v>350000</v>
      </c>
      <c r="I18" s="75">
        <v>8.6999999999999993</v>
      </c>
      <c r="J18" s="75">
        <v>3.1</v>
      </c>
      <c r="K18" s="75">
        <v>3.3</v>
      </c>
      <c r="L18" s="76">
        <v>3</v>
      </c>
      <c r="M18" s="76">
        <v>56000</v>
      </c>
    </row>
    <row r="19" spans="2:13" x14ac:dyDescent="0.2">
      <c r="D19" s="66"/>
    </row>
    <row r="20" spans="2:13" x14ac:dyDescent="0.2">
      <c r="B20" s="62" t="s">
        <v>482</v>
      </c>
      <c r="C20" s="62" t="s">
        <v>483</v>
      </c>
      <c r="D20" s="74">
        <v>9.6999999999999993</v>
      </c>
      <c r="E20" s="75">
        <v>1.5</v>
      </c>
      <c r="F20" s="75">
        <v>3.5</v>
      </c>
      <c r="G20" s="76">
        <v>3</v>
      </c>
      <c r="H20" s="76">
        <v>4200</v>
      </c>
      <c r="I20" s="75">
        <v>8.9</v>
      </c>
      <c r="J20" s="75">
        <v>1.3</v>
      </c>
      <c r="K20" s="75">
        <v>3.3</v>
      </c>
      <c r="L20" s="76">
        <v>2</v>
      </c>
      <c r="M20" s="76">
        <v>5600</v>
      </c>
    </row>
    <row r="21" spans="2:13" x14ac:dyDescent="0.2">
      <c r="B21" s="62" t="s">
        <v>484</v>
      </c>
      <c r="C21" s="62" t="s">
        <v>485</v>
      </c>
      <c r="D21" s="74">
        <v>8.3000000000000007</v>
      </c>
      <c r="E21" s="75">
        <v>13</v>
      </c>
      <c r="F21" s="75">
        <v>19.899999999999999</v>
      </c>
      <c r="G21" s="76">
        <v>21</v>
      </c>
      <c r="H21" s="77" t="s">
        <v>139</v>
      </c>
      <c r="I21" s="75">
        <v>7.7</v>
      </c>
      <c r="J21" s="75">
        <v>14.5</v>
      </c>
      <c r="K21" s="75">
        <v>30.5</v>
      </c>
      <c r="L21" s="76">
        <v>30</v>
      </c>
      <c r="M21" s="77" t="s">
        <v>486</v>
      </c>
    </row>
    <row r="22" spans="2:13" x14ac:dyDescent="0.2">
      <c r="B22" s="62" t="s">
        <v>487</v>
      </c>
      <c r="C22" s="62" t="s">
        <v>488</v>
      </c>
      <c r="D22" s="74">
        <v>9.9</v>
      </c>
      <c r="E22" s="75">
        <v>0.7</v>
      </c>
      <c r="F22" s="75">
        <v>1.4</v>
      </c>
      <c r="G22" s="76">
        <v>1</v>
      </c>
      <c r="H22" s="77" t="s">
        <v>139</v>
      </c>
      <c r="I22" s="75">
        <v>9.9</v>
      </c>
      <c r="J22" s="75">
        <v>0.7</v>
      </c>
      <c r="K22" s="75">
        <v>1.4</v>
      </c>
      <c r="L22" s="76">
        <v>2</v>
      </c>
      <c r="M22" s="77" t="s">
        <v>486</v>
      </c>
    </row>
    <row r="23" spans="2:13" x14ac:dyDescent="0.2">
      <c r="C23" s="62" t="s">
        <v>489</v>
      </c>
      <c r="D23" s="74">
        <v>10.1</v>
      </c>
      <c r="E23" s="75">
        <v>0.7</v>
      </c>
      <c r="F23" s="75">
        <v>1.8</v>
      </c>
      <c r="G23" s="76">
        <v>2</v>
      </c>
      <c r="H23" s="76">
        <v>8500</v>
      </c>
      <c r="I23" s="75">
        <v>9.9</v>
      </c>
      <c r="J23" s="75">
        <v>1</v>
      </c>
      <c r="K23" s="75">
        <v>2</v>
      </c>
      <c r="L23" s="76">
        <v>2</v>
      </c>
      <c r="M23" s="76">
        <v>1000</v>
      </c>
    </row>
    <row r="24" spans="2:13" x14ac:dyDescent="0.2">
      <c r="D24" s="66"/>
    </row>
    <row r="25" spans="2:13" x14ac:dyDescent="0.2">
      <c r="B25" s="62" t="s">
        <v>490</v>
      </c>
      <c r="C25" s="62" t="s">
        <v>491</v>
      </c>
      <c r="D25" s="74">
        <v>6.7</v>
      </c>
      <c r="E25" s="75">
        <v>3.4</v>
      </c>
      <c r="F25" s="75">
        <v>6.4</v>
      </c>
      <c r="G25" s="76">
        <v>12</v>
      </c>
      <c r="H25" s="76">
        <v>86000</v>
      </c>
      <c r="I25" s="75">
        <v>6.6</v>
      </c>
      <c r="J25" s="75">
        <v>4.9000000000000004</v>
      </c>
      <c r="K25" s="75">
        <v>7.4</v>
      </c>
      <c r="L25" s="76">
        <v>17</v>
      </c>
      <c r="M25" s="76">
        <v>13000</v>
      </c>
    </row>
    <row r="26" spans="2:13" x14ac:dyDescent="0.2">
      <c r="B26" s="62" t="s">
        <v>492</v>
      </c>
      <c r="C26" s="62" t="s">
        <v>493</v>
      </c>
      <c r="D26" s="74">
        <v>5.9</v>
      </c>
      <c r="E26" s="75">
        <v>3.6</v>
      </c>
      <c r="F26" s="75">
        <v>5</v>
      </c>
      <c r="G26" s="76">
        <v>6</v>
      </c>
      <c r="H26" s="76">
        <v>40000</v>
      </c>
      <c r="I26" s="75">
        <v>5</v>
      </c>
      <c r="J26" s="75">
        <v>2.9</v>
      </c>
      <c r="K26" s="75">
        <v>5.2</v>
      </c>
      <c r="L26" s="76">
        <v>9</v>
      </c>
      <c r="M26" s="76">
        <v>2300</v>
      </c>
    </row>
    <row r="27" spans="2:13" x14ac:dyDescent="0.2">
      <c r="B27" s="62" t="s">
        <v>494</v>
      </c>
      <c r="C27" s="62" t="s">
        <v>495</v>
      </c>
      <c r="D27" s="74">
        <v>10.4</v>
      </c>
      <c r="E27" s="75">
        <v>0.7</v>
      </c>
      <c r="F27" s="75">
        <v>1.4</v>
      </c>
      <c r="G27" s="76">
        <v>3</v>
      </c>
      <c r="H27" s="77" t="s">
        <v>139</v>
      </c>
      <c r="I27" s="75">
        <v>9.9</v>
      </c>
      <c r="J27" s="75">
        <v>0.6</v>
      </c>
      <c r="K27" s="75">
        <v>1.4</v>
      </c>
      <c r="L27" s="76">
        <v>3</v>
      </c>
      <c r="M27" s="77" t="s">
        <v>139</v>
      </c>
    </row>
    <row r="28" spans="2:13" x14ac:dyDescent="0.2">
      <c r="C28" s="62" t="s">
        <v>496</v>
      </c>
      <c r="D28" s="74">
        <v>10</v>
      </c>
      <c r="E28" s="75">
        <v>0.7</v>
      </c>
      <c r="F28" s="75">
        <v>1.4</v>
      </c>
      <c r="G28" s="76">
        <v>3</v>
      </c>
      <c r="H28" s="76">
        <v>5600</v>
      </c>
      <c r="I28" s="75">
        <v>9.9</v>
      </c>
      <c r="J28" s="75">
        <v>0.7</v>
      </c>
      <c r="K28" s="75">
        <v>1.4</v>
      </c>
      <c r="L28" s="76">
        <v>4</v>
      </c>
      <c r="M28" s="76">
        <v>67</v>
      </c>
    </row>
    <row r="29" spans="2:13" x14ac:dyDescent="0.2">
      <c r="D29" s="66"/>
      <c r="H29" s="78"/>
      <c r="M29" s="78"/>
    </row>
    <row r="30" spans="2:13" x14ac:dyDescent="0.2">
      <c r="B30" s="62" t="s">
        <v>497</v>
      </c>
      <c r="C30" s="62" t="s">
        <v>498</v>
      </c>
      <c r="D30" s="74">
        <v>9.6999999999999993</v>
      </c>
      <c r="E30" s="75">
        <v>1.1000000000000001</v>
      </c>
      <c r="F30" s="75">
        <v>0.8</v>
      </c>
      <c r="G30" s="76">
        <v>2</v>
      </c>
      <c r="H30" s="76">
        <v>4300</v>
      </c>
      <c r="I30" s="75">
        <v>9.5</v>
      </c>
      <c r="J30" s="75">
        <v>0.6</v>
      </c>
      <c r="K30" s="75">
        <v>0.9</v>
      </c>
      <c r="L30" s="76">
        <v>2</v>
      </c>
      <c r="M30" s="76">
        <v>130</v>
      </c>
    </row>
    <row r="31" spans="2:13" x14ac:dyDescent="0.2">
      <c r="C31" s="62" t="s">
        <v>499</v>
      </c>
      <c r="D31" s="74">
        <v>9.9</v>
      </c>
      <c r="E31" s="75">
        <v>1</v>
      </c>
      <c r="F31" s="75">
        <v>1.1000000000000001</v>
      </c>
      <c r="G31" s="76">
        <v>3</v>
      </c>
      <c r="H31" s="76">
        <v>11000</v>
      </c>
      <c r="I31" s="75">
        <v>9.6999999999999993</v>
      </c>
      <c r="J31" s="75">
        <v>0.6</v>
      </c>
      <c r="K31" s="75">
        <v>0.8</v>
      </c>
      <c r="L31" s="76">
        <v>1</v>
      </c>
      <c r="M31" s="76">
        <v>2300</v>
      </c>
    </row>
    <row r="32" spans="2:13" x14ac:dyDescent="0.2">
      <c r="C32" s="62" t="s">
        <v>500</v>
      </c>
      <c r="D32" s="74">
        <v>7.1</v>
      </c>
      <c r="E32" s="75">
        <v>2.2000000000000002</v>
      </c>
      <c r="F32" s="75">
        <v>4.2</v>
      </c>
      <c r="G32" s="76">
        <v>8</v>
      </c>
      <c r="H32" s="77" t="s">
        <v>139</v>
      </c>
      <c r="I32" s="75">
        <v>7.2</v>
      </c>
      <c r="J32" s="75">
        <v>1.3</v>
      </c>
      <c r="K32" s="75">
        <v>3.6</v>
      </c>
      <c r="L32" s="76">
        <v>6</v>
      </c>
      <c r="M32" s="77" t="s">
        <v>139</v>
      </c>
    </row>
    <row r="33" spans="2:13" x14ac:dyDescent="0.2">
      <c r="B33" s="62" t="s">
        <v>501</v>
      </c>
      <c r="C33" s="62" t="s">
        <v>502</v>
      </c>
      <c r="D33" s="74">
        <v>8.9</v>
      </c>
      <c r="E33" s="75">
        <v>3.9</v>
      </c>
      <c r="F33" s="75">
        <v>4.5999999999999996</v>
      </c>
      <c r="G33" s="76">
        <v>3</v>
      </c>
      <c r="H33" s="76">
        <v>22000</v>
      </c>
      <c r="I33" s="75">
        <v>8</v>
      </c>
      <c r="J33" s="75">
        <v>0.8</v>
      </c>
      <c r="K33" s="75">
        <v>1.4</v>
      </c>
      <c r="L33" s="76">
        <v>1</v>
      </c>
      <c r="M33" s="76">
        <v>5900</v>
      </c>
    </row>
    <row r="34" spans="2:13" x14ac:dyDescent="0.2">
      <c r="B34" s="62" t="s">
        <v>503</v>
      </c>
      <c r="D34" s="74">
        <v>10.6</v>
      </c>
      <c r="E34" s="75">
        <v>1.2</v>
      </c>
      <c r="F34" s="75">
        <v>2.2000000000000002</v>
      </c>
      <c r="G34" s="76">
        <v>2</v>
      </c>
      <c r="H34" s="76">
        <v>22000</v>
      </c>
      <c r="I34" s="75">
        <v>9.6999999999999993</v>
      </c>
      <c r="J34" s="75">
        <v>1.1000000000000001</v>
      </c>
      <c r="K34" s="75">
        <v>2.2999999999999998</v>
      </c>
      <c r="L34" s="76">
        <v>5</v>
      </c>
      <c r="M34" s="76">
        <v>14000</v>
      </c>
    </row>
    <row r="35" spans="2:13" x14ac:dyDescent="0.2">
      <c r="C35" s="62" t="s">
        <v>504</v>
      </c>
      <c r="D35" s="74">
        <v>10.199999999999999</v>
      </c>
      <c r="E35" s="75">
        <v>1</v>
      </c>
      <c r="F35" s="75">
        <v>1.4</v>
      </c>
      <c r="G35" s="76">
        <v>2</v>
      </c>
      <c r="H35" s="77" t="s">
        <v>139</v>
      </c>
      <c r="I35" s="75">
        <v>9.6999999999999993</v>
      </c>
      <c r="J35" s="75">
        <v>0.8</v>
      </c>
      <c r="K35" s="75">
        <v>1.6</v>
      </c>
      <c r="L35" s="76">
        <v>4</v>
      </c>
      <c r="M35" s="77" t="s">
        <v>139</v>
      </c>
    </row>
    <row r="36" spans="2:13" x14ac:dyDescent="0.2">
      <c r="D36" s="66"/>
      <c r="H36" s="78"/>
      <c r="M36" s="78"/>
    </row>
    <row r="37" spans="2:13" x14ac:dyDescent="0.2">
      <c r="B37" s="62" t="s">
        <v>505</v>
      </c>
      <c r="C37" s="62" t="s">
        <v>506</v>
      </c>
      <c r="D37" s="74">
        <v>9.6999999999999993</v>
      </c>
      <c r="E37" s="75">
        <v>0.9</v>
      </c>
      <c r="F37" s="75">
        <v>0.8</v>
      </c>
      <c r="G37" s="76">
        <v>1</v>
      </c>
      <c r="H37" s="77" t="s">
        <v>139</v>
      </c>
      <c r="I37" s="75">
        <v>9.8000000000000007</v>
      </c>
      <c r="J37" s="75">
        <v>0.7</v>
      </c>
      <c r="K37" s="75">
        <v>1</v>
      </c>
      <c r="L37" s="76">
        <v>2</v>
      </c>
      <c r="M37" s="77" t="s">
        <v>139</v>
      </c>
    </row>
    <row r="38" spans="2:13" x14ac:dyDescent="0.2">
      <c r="C38" s="62" t="s">
        <v>507</v>
      </c>
      <c r="D38" s="74">
        <v>9.3000000000000007</v>
      </c>
      <c r="E38" s="75">
        <v>1.1000000000000001</v>
      </c>
      <c r="F38" s="75">
        <v>1.4</v>
      </c>
      <c r="G38" s="76">
        <v>2</v>
      </c>
      <c r="H38" s="76">
        <v>48000</v>
      </c>
      <c r="I38" s="75">
        <v>9.1999999999999993</v>
      </c>
      <c r="J38" s="75">
        <v>0.7</v>
      </c>
      <c r="K38" s="75">
        <v>1.2</v>
      </c>
      <c r="L38" s="76">
        <v>3</v>
      </c>
      <c r="M38" s="76">
        <v>24000</v>
      </c>
    </row>
    <row r="39" spans="2:13" x14ac:dyDescent="0.2">
      <c r="B39" s="62" t="s">
        <v>508</v>
      </c>
      <c r="C39" s="62" t="s">
        <v>509</v>
      </c>
      <c r="D39" s="74">
        <v>9.6</v>
      </c>
      <c r="E39" s="75">
        <v>0.6</v>
      </c>
      <c r="F39" s="75">
        <v>0.7</v>
      </c>
      <c r="G39" s="76">
        <v>1</v>
      </c>
      <c r="H39" s="76">
        <v>12000</v>
      </c>
      <c r="I39" s="75">
        <v>9.8000000000000007</v>
      </c>
      <c r="J39" s="75">
        <v>0.6</v>
      </c>
      <c r="K39" s="75">
        <v>0.7</v>
      </c>
      <c r="L39" s="76">
        <v>2</v>
      </c>
      <c r="M39" s="76">
        <v>2300</v>
      </c>
    </row>
    <row r="40" spans="2:13" x14ac:dyDescent="0.2">
      <c r="C40" s="62" t="s">
        <v>510</v>
      </c>
      <c r="D40" s="74">
        <v>9.3000000000000007</v>
      </c>
      <c r="E40" s="75">
        <v>0.7</v>
      </c>
      <c r="F40" s="75">
        <v>0.8</v>
      </c>
      <c r="G40" s="76">
        <v>1</v>
      </c>
      <c r="H40" s="77" t="s">
        <v>139</v>
      </c>
      <c r="I40" s="75">
        <v>9.1999999999999993</v>
      </c>
      <c r="J40" s="75">
        <v>0.6</v>
      </c>
      <c r="K40" s="75">
        <v>0.7</v>
      </c>
      <c r="L40" s="76">
        <v>2</v>
      </c>
      <c r="M40" s="77" t="s">
        <v>139</v>
      </c>
    </row>
    <row r="41" spans="2:13" x14ac:dyDescent="0.2">
      <c r="D41" s="66"/>
      <c r="H41" s="78"/>
      <c r="M41" s="78"/>
    </row>
    <row r="42" spans="2:13" x14ac:dyDescent="0.2">
      <c r="B42" s="62" t="s">
        <v>511</v>
      </c>
      <c r="C42" s="62" t="s">
        <v>512</v>
      </c>
      <c r="D42" s="74">
        <v>8.6999999999999993</v>
      </c>
      <c r="E42" s="75">
        <v>0.8</v>
      </c>
      <c r="F42" s="75">
        <v>1.1000000000000001</v>
      </c>
      <c r="G42" s="77" t="s">
        <v>513</v>
      </c>
      <c r="H42" s="76">
        <v>230</v>
      </c>
      <c r="I42" s="75">
        <v>8.4</v>
      </c>
      <c r="J42" s="75">
        <v>0.7</v>
      </c>
      <c r="K42" s="75">
        <v>1</v>
      </c>
      <c r="L42" s="77" t="s">
        <v>513</v>
      </c>
      <c r="M42" s="76">
        <v>260</v>
      </c>
    </row>
    <row r="43" spans="2:13" x14ac:dyDescent="0.2">
      <c r="C43" s="62" t="s">
        <v>514</v>
      </c>
      <c r="D43" s="74">
        <v>8.8000000000000007</v>
      </c>
      <c r="E43" s="75">
        <v>0.8</v>
      </c>
      <c r="F43" s="75">
        <v>1.1000000000000001</v>
      </c>
      <c r="G43" s="77" t="s">
        <v>513</v>
      </c>
      <c r="H43" s="76">
        <v>590</v>
      </c>
      <c r="I43" s="75">
        <v>8.3000000000000007</v>
      </c>
      <c r="J43" s="75">
        <v>0.7</v>
      </c>
      <c r="K43" s="75">
        <v>1</v>
      </c>
      <c r="L43" s="77" t="s">
        <v>513</v>
      </c>
      <c r="M43" s="76">
        <v>580</v>
      </c>
    </row>
    <row r="44" spans="2:13" x14ac:dyDescent="0.2">
      <c r="B44" s="62" t="s">
        <v>515</v>
      </c>
      <c r="C44" s="62" t="s">
        <v>516</v>
      </c>
      <c r="D44" s="74">
        <v>8.6999999999999993</v>
      </c>
      <c r="E44" s="75">
        <v>0.8</v>
      </c>
      <c r="F44" s="75">
        <v>1.1000000000000001</v>
      </c>
      <c r="G44" s="77" t="s">
        <v>513</v>
      </c>
      <c r="H44" s="76">
        <v>970</v>
      </c>
      <c r="I44" s="75">
        <v>8.4</v>
      </c>
      <c r="J44" s="75">
        <v>0.7</v>
      </c>
      <c r="K44" s="75">
        <v>1.3</v>
      </c>
      <c r="L44" s="76">
        <v>1</v>
      </c>
      <c r="M44" s="76">
        <v>820</v>
      </c>
    </row>
    <row r="45" spans="2:13" x14ac:dyDescent="0.2">
      <c r="D45" s="66"/>
      <c r="H45" s="78"/>
      <c r="M45" s="78"/>
    </row>
    <row r="46" spans="2:13" x14ac:dyDescent="0.2">
      <c r="B46" s="62" t="s">
        <v>517</v>
      </c>
      <c r="C46" s="62" t="s">
        <v>518</v>
      </c>
      <c r="D46" s="74">
        <v>8.6999999999999993</v>
      </c>
      <c r="E46" s="75">
        <v>0.6</v>
      </c>
      <c r="F46" s="75">
        <v>1</v>
      </c>
      <c r="G46" s="76">
        <v>1</v>
      </c>
      <c r="H46" s="76">
        <v>1400</v>
      </c>
      <c r="I46" s="75">
        <v>8.4</v>
      </c>
      <c r="J46" s="75">
        <v>0.6</v>
      </c>
      <c r="K46" s="75">
        <v>0.8</v>
      </c>
      <c r="L46" s="77" t="s">
        <v>513</v>
      </c>
      <c r="M46" s="76">
        <v>2500</v>
      </c>
    </row>
    <row r="47" spans="2:13" x14ac:dyDescent="0.2">
      <c r="B47" s="62" t="s">
        <v>519</v>
      </c>
      <c r="C47" s="62" t="s">
        <v>520</v>
      </c>
      <c r="D47" s="74">
        <v>8.4</v>
      </c>
      <c r="E47" s="75">
        <v>0.6</v>
      </c>
      <c r="F47" s="75">
        <v>1</v>
      </c>
      <c r="G47" s="77" t="s">
        <v>513</v>
      </c>
      <c r="H47" s="76">
        <v>640</v>
      </c>
      <c r="I47" s="75">
        <v>8.1999999999999993</v>
      </c>
      <c r="J47" s="75">
        <v>0.6</v>
      </c>
      <c r="K47" s="75">
        <v>1.1000000000000001</v>
      </c>
      <c r="L47" s="77" t="s">
        <v>513</v>
      </c>
      <c r="M47" s="76">
        <v>690</v>
      </c>
    </row>
    <row r="48" spans="2:13" x14ac:dyDescent="0.2">
      <c r="B48" s="62" t="s">
        <v>521</v>
      </c>
      <c r="C48" s="62" t="s">
        <v>522</v>
      </c>
      <c r="D48" s="74">
        <v>10.7</v>
      </c>
      <c r="E48" s="75">
        <v>0.8</v>
      </c>
      <c r="F48" s="75">
        <v>2.2000000000000002</v>
      </c>
      <c r="G48" s="76">
        <v>11</v>
      </c>
      <c r="H48" s="76">
        <v>2200</v>
      </c>
      <c r="I48" s="75">
        <v>9.8000000000000007</v>
      </c>
      <c r="J48" s="75">
        <v>0.7</v>
      </c>
      <c r="K48" s="75">
        <v>1.4</v>
      </c>
      <c r="L48" s="76">
        <v>4</v>
      </c>
      <c r="M48" s="76">
        <v>1100</v>
      </c>
    </row>
    <row r="49" spans="2:13" x14ac:dyDescent="0.2">
      <c r="C49" s="62" t="s">
        <v>523</v>
      </c>
      <c r="D49" s="74">
        <v>10</v>
      </c>
      <c r="E49" s="75">
        <v>0.9</v>
      </c>
      <c r="F49" s="75">
        <v>1.7</v>
      </c>
      <c r="G49" s="76">
        <v>5</v>
      </c>
      <c r="H49" s="76">
        <v>2800</v>
      </c>
      <c r="I49" s="75">
        <v>9.5</v>
      </c>
      <c r="J49" s="75">
        <v>0.8</v>
      </c>
      <c r="K49" s="75">
        <v>1.3</v>
      </c>
      <c r="L49" s="76">
        <v>2</v>
      </c>
      <c r="M49" s="76">
        <v>1000</v>
      </c>
    </row>
    <row r="50" spans="2:13" ht="18" thickBot="1" x14ac:dyDescent="0.25">
      <c r="B50" s="65"/>
      <c r="C50" s="65"/>
      <c r="D50" s="79"/>
      <c r="E50" s="65"/>
      <c r="F50" s="65"/>
      <c r="G50" s="80"/>
      <c r="H50" s="65"/>
      <c r="I50" s="65"/>
      <c r="J50" s="65"/>
      <c r="K50" s="65"/>
      <c r="L50" s="80"/>
      <c r="M50" s="65"/>
    </row>
    <row r="51" spans="2:13" x14ac:dyDescent="0.2">
      <c r="D51" s="62" t="s">
        <v>313</v>
      </c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6"/>
  <sheetViews>
    <sheetView showGridLines="0" zoomScale="75" workbookViewId="0"/>
  </sheetViews>
  <sheetFormatPr defaultColWidth="10.875" defaultRowHeight="17.25" x14ac:dyDescent="0.2"/>
  <cols>
    <col min="1" max="1" width="13.375" style="63" customWidth="1"/>
    <col min="2" max="2" width="9.625" style="63" customWidth="1"/>
    <col min="3" max="3" width="14.625" style="63" customWidth="1"/>
    <col min="4" max="4" width="10.875" style="63"/>
    <col min="5" max="5" width="12.125" style="63" customWidth="1"/>
    <col min="6" max="6" width="10.875" style="63"/>
    <col min="7" max="7" width="8.375" style="63" customWidth="1"/>
    <col min="8" max="8" width="13.375" style="63" customWidth="1"/>
    <col min="9" max="9" width="10.875" style="63"/>
    <col min="10" max="10" width="12.125" style="63" customWidth="1"/>
    <col min="11" max="11" width="9.625" style="63" customWidth="1"/>
    <col min="12" max="12" width="8.375" style="63" customWidth="1"/>
    <col min="13" max="13" width="13.375" style="63" customWidth="1"/>
    <col min="14" max="82" width="10.875" style="63"/>
    <col min="83" max="134" width="13.375" style="63" customWidth="1"/>
    <col min="135" max="256" width="10.875" style="63"/>
    <col min="257" max="257" width="13.375" style="63" customWidth="1"/>
    <col min="258" max="258" width="9.625" style="63" customWidth="1"/>
    <col min="259" max="259" width="14.625" style="63" customWidth="1"/>
    <col min="260" max="260" width="10.875" style="63"/>
    <col min="261" max="261" width="12.125" style="63" customWidth="1"/>
    <col min="262" max="262" width="10.875" style="63"/>
    <col min="263" max="263" width="8.375" style="63" customWidth="1"/>
    <col min="264" max="264" width="13.375" style="63" customWidth="1"/>
    <col min="265" max="265" width="10.875" style="63"/>
    <col min="266" max="266" width="12.125" style="63" customWidth="1"/>
    <col min="267" max="267" width="9.625" style="63" customWidth="1"/>
    <col min="268" max="268" width="8.375" style="63" customWidth="1"/>
    <col min="269" max="269" width="13.375" style="63" customWidth="1"/>
    <col min="270" max="338" width="10.875" style="63"/>
    <col min="339" max="390" width="13.375" style="63" customWidth="1"/>
    <col min="391" max="512" width="10.875" style="63"/>
    <col min="513" max="513" width="13.375" style="63" customWidth="1"/>
    <col min="514" max="514" width="9.625" style="63" customWidth="1"/>
    <col min="515" max="515" width="14.625" style="63" customWidth="1"/>
    <col min="516" max="516" width="10.875" style="63"/>
    <col min="517" max="517" width="12.125" style="63" customWidth="1"/>
    <col min="518" max="518" width="10.875" style="63"/>
    <col min="519" max="519" width="8.375" style="63" customWidth="1"/>
    <col min="520" max="520" width="13.375" style="63" customWidth="1"/>
    <col min="521" max="521" width="10.875" style="63"/>
    <col min="522" max="522" width="12.125" style="63" customWidth="1"/>
    <col min="523" max="523" width="9.625" style="63" customWidth="1"/>
    <col min="524" max="524" width="8.375" style="63" customWidth="1"/>
    <col min="525" max="525" width="13.375" style="63" customWidth="1"/>
    <col min="526" max="594" width="10.875" style="63"/>
    <col min="595" max="646" width="13.375" style="63" customWidth="1"/>
    <col min="647" max="768" width="10.875" style="63"/>
    <col min="769" max="769" width="13.375" style="63" customWidth="1"/>
    <col min="770" max="770" width="9.625" style="63" customWidth="1"/>
    <col min="771" max="771" width="14.625" style="63" customWidth="1"/>
    <col min="772" max="772" width="10.875" style="63"/>
    <col min="773" max="773" width="12.125" style="63" customWidth="1"/>
    <col min="774" max="774" width="10.875" style="63"/>
    <col min="775" max="775" width="8.375" style="63" customWidth="1"/>
    <col min="776" max="776" width="13.375" style="63" customWidth="1"/>
    <col min="777" max="777" width="10.875" style="63"/>
    <col min="778" max="778" width="12.125" style="63" customWidth="1"/>
    <col min="779" max="779" width="9.625" style="63" customWidth="1"/>
    <col min="780" max="780" width="8.375" style="63" customWidth="1"/>
    <col min="781" max="781" width="13.375" style="63" customWidth="1"/>
    <col min="782" max="850" width="10.875" style="63"/>
    <col min="851" max="902" width="13.375" style="63" customWidth="1"/>
    <col min="903" max="1024" width="10.875" style="63"/>
    <col min="1025" max="1025" width="13.375" style="63" customWidth="1"/>
    <col min="1026" max="1026" width="9.625" style="63" customWidth="1"/>
    <col min="1027" max="1027" width="14.625" style="63" customWidth="1"/>
    <col min="1028" max="1028" width="10.875" style="63"/>
    <col min="1029" max="1029" width="12.125" style="63" customWidth="1"/>
    <col min="1030" max="1030" width="10.875" style="63"/>
    <col min="1031" max="1031" width="8.375" style="63" customWidth="1"/>
    <col min="1032" max="1032" width="13.375" style="63" customWidth="1"/>
    <col min="1033" max="1033" width="10.875" style="63"/>
    <col min="1034" max="1034" width="12.125" style="63" customWidth="1"/>
    <col min="1035" max="1035" width="9.625" style="63" customWidth="1"/>
    <col min="1036" max="1036" width="8.375" style="63" customWidth="1"/>
    <col min="1037" max="1037" width="13.375" style="63" customWidth="1"/>
    <col min="1038" max="1106" width="10.875" style="63"/>
    <col min="1107" max="1158" width="13.375" style="63" customWidth="1"/>
    <col min="1159" max="1280" width="10.875" style="63"/>
    <col min="1281" max="1281" width="13.375" style="63" customWidth="1"/>
    <col min="1282" max="1282" width="9.625" style="63" customWidth="1"/>
    <col min="1283" max="1283" width="14.625" style="63" customWidth="1"/>
    <col min="1284" max="1284" width="10.875" style="63"/>
    <col min="1285" max="1285" width="12.125" style="63" customWidth="1"/>
    <col min="1286" max="1286" width="10.875" style="63"/>
    <col min="1287" max="1287" width="8.375" style="63" customWidth="1"/>
    <col min="1288" max="1288" width="13.375" style="63" customWidth="1"/>
    <col min="1289" max="1289" width="10.875" style="63"/>
    <col min="1290" max="1290" width="12.125" style="63" customWidth="1"/>
    <col min="1291" max="1291" width="9.625" style="63" customWidth="1"/>
    <col min="1292" max="1292" width="8.375" style="63" customWidth="1"/>
    <col min="1293" max="1293" width="13.375" style="63" customWidth="1"/>
    <col min="1294" max="1362" width="10.875" style="63"/>
    <col min="1363" max="1414" width="13.375" style="63" customWidth="1"/>
    <col min="1415" max="1536" width="10.875" style="63"/>
    <col min="1537" max="1537" width="13.375" style="63" customWidth="1"/>
    <col min="1538" max="1538" width="9.625" style="63" customWidth="1"/>
    <col min="1539" max="1539" width="14.625" style="63" customWidth="1"/>
    <col min="1540" max="1540" width="10.875" style="63"/>
    <col min="1541" max="1541" width="12.125" style="63" customWidth="1"/>
    <col min="1542" max="1542" width="10.875" style="63"/>
    <col min="1543" max="1543" width="8.375" style="63" customWidth="1"/>
    <col min="1544" max="1544" width="13.375" style="63" customWidth="1"/>
    <col min="1545" max="1545" width="10.875" style="63"/>
    <col min="1546" max="1546" width="12.125" style="63" customWidth="1"/>
    <col min="1547" max="1547" width="9.625" style="63" customWidth="1"/>
    <col min="1548" max="1548" width="8.375" style="63" customWidth="1"/>
    <col min="1549" max="1549" width="13.375" style="63" customWidth="1"/>
    <col min="1550" max="1618" width="10.875" style="63"/>
    <col min="1619" max="1670" width="13.375" style="63" customWidth="1"/>
    <col min="1671" max="1792" width="10.875" style="63"/>
    <col min="1793" max="1793" width="13.375" style="63" customWidth="1"/>
    <col min="1794" max="1794" width="9.625" style="63" customWidth="1"/>
    <col min="1795" max="1795" width="14.625" style="63" customWidth="1"/>
    <col min="1796" max="1796" width="10.875" style="63"/>
    <col min="1797" max="1797" width="12.125" style="63" customWidth="1"/>
    <col min="1798" max="1798" width="10.875" style="63"/>
    <col min="1799" max="1799" width="8.375" style="63" customWidth="1"/>
    <col min="1800" max="1800" width="13.375" style="63" customWidth="1"/>
    <col min="1801" max="1801" width="10.875" style="63"/>
    <col min="1802" max="1802" width="12.125" style="63" customWidth="1"/>
    <col min="1803" max="1803" width="9.625" style="63" customWidth="1"/>
    <col min="1804" max="1804" width="8.375" style="63" customWidth="1"/>
    <col min="1805" max="1805" width="13.375" style="63" customWidth="1"/>
    <col min="1806" max="1874" width="10.875" style="63"/>
    <col min="1875" max="1926" width="13.375" style="63" customWidth="1"/>
    <col min="1927" max="2048" width="10.875" style="63"/>
    <col min="2049" max="2049" width="13.375" style="63" customWidth="1"/>
    <col min="2050" max="2050" width="9.625" style="63" customWidth="1"/>
    <col min="2051" max="2051" width="14.625" style="63" customWidth="1"/>
    <col min="2052" max="2052" width="10.875" style="63"/>
    <col min="2053" max="2053" width="12.125" style="63" customWidth="1"/>
    <col min="2054" max="2054" width="10.875" style="63"/>
    <col min="2055" max="2055" width="8.375" style="63" customWidth="1"/>
    <col min="2056" max="2056" width="13.375" style="63" customWidth="1"/>
    <col min="2057" max="2057" width="10.875" style="63"/>
    <col min="2058" max="2058" width="12.125" style="63" customWidth="1"/>
    <col min="2059" max="2059" width="9.625" style="63" customWidth="1"/>
    <col min="2060" max="2060" width="8.375" style="63" customWidth="1"/>
    <col min="2061" max="2061" width="13.375" style="63" customWidth="1"/>
    <col min="2062" max="2130" width="10.875" style="63"/>
    <col min="2131" max="2182" width="13.375" style="63" customWidth="1"/>
    <col min="2183" max="2304" width="10.875" style="63"/>
    <col min="2305" max="2305" width="13.375" style="63" customWidth="1"/>
    <col min="2306" max="2306" width="9.625" style="63" customWidth="1"/>
    <col min="2307" max="2307" width="14.625" style="63" customWidth="1"/>
    <col min="2308" max="2308" width="10.875" style="63"/>
    <col min="2309" max="2309" width="12.125" style="63" customWidth="1"/>
    <col min="2310" max="2310" width="10.875" style="63"/>
    <col min="2311" max="2311" width="8.375" style="63" customWidth="1"/>
    <col min="2312" max="2312" width="13.375" style="63" customWidth="1"/>
    <col min="2313" max="2313" width="10.875" style="63"/>
    <col min="2314" max="2314" width="12.125" style="63" customWidth="1"/>
    <col min="2315" max="2315" width="9.625" style="63" customWidth="1"/>
    <col min="2316" max="2316" width="8.375" style="63" customWidth="1"/>
    <col min="2317" max="2317" width="13.375" style="63" customWidth="1"/>
    <col min="2318" max="2386" width="10.875" style="63"/>
    <col min="2387" max="2438" width="13.375" style="63" customWidth="1"/>
    <col min="2439" max="2560" width="10.875" style="63"/>
    <col min="2561" max="2561" width="13.375" style="63" customWidth="1"/>
    <col min="2562" max="2562" width="9.625" style="63" customWidth="1"/>
    <col min="2563" max="2563" width="14.625" style="63" customWidth="1"/>
    <col min="2564" max="2564" width="10.875" style="63"/>
    <col min="2565" max="2565" width="12.125" style="63" customWidth="1"/>
    <col min="2566" max="2566" width="10.875" style="63"/>
    <col min="2567" max="2567" width="8.375" style="63" customWidth="1"/>
    <col min="2568" max="2568" width="13.375" style="63" customWidth="1"/>
    <col min="2569" max="2569" width="10.875" style="63"/>
    <col min="2570" max="2570" width="12.125" style="63" customWidth="1"/>
    <col min="2571" max="2571" width="9.625" style="63" customWidth="1"/>
    <col min="2572" max="2572" width="8.375" style="63" customWidth="1"/>
    <col min="2573" max="2573" width="13.375" style="63" customWidth="1"/>
    <col min="2574" max="2642" width="10.875" style="63"/>
    <col min="2643" max="2694" width="13.375" style="63" customWidth="1"/>
    <col min="2695" max="2816" width="10.875" style="63"/>
    <col min="2817" max="2817" width="13.375" style="63" customWidth="1"/>
    <col min="2818" max="2818" width="9.625" style="63" customWidth="1"/>
    <col min="2819" max="2819" width="14.625" style="63" customWidth="1"/>
    <col min="2820" max="2820" width="10.875" style="63"/>
    <col min="2821" max="2821" width="12.125" style="63" customWidth="1"/>
    <col min="2822" max="2822" width="10.875" style="63"/>
    <col min="2823" max="2823" width="8.375" style="63" customWidth="1"/>
    <col min="2824" max="2824" width="13.375" style="63" customWidth="1"/>
    <col min="2825" max="2825" width="10.875" style="63"/>
    <col min="2826" max="2826" width="12.125" style="63" customWidth="1"/>
    <col min="2827" max="2827" width="9.625" style="63" customWidth="1"/>
    <col min="2828" max="2828" width="8.375" style="63" customWidth="1"/>
    <col min="2829" max="2829" width="13.375" style="63" customWidth="1"/>
    <col min="2830" max="2898" width="10.875" style="63"/>
    <col min="2899" max="2950" width="13.375" style="63" customWidth="1"/>
    <col min="2951" max="3072" width="10.875" style="63"/>
    <col min="3073" max="3073" width="13.375" style="63" customWidth="1"/>
    <col min="3074" max="3074" width="9.625" style="63" customWidth="1"/>
    <col min="3075" max="3075" width="14.625" style="63" customWidth="1"/>
    <col min="3076" max="3076" width="10.875" style="63"/>
    <col min="3077" max="3077" width="12.125" style="63" customWidth="1"/>
    <col min="3078" max="3078" width="10.875" style="63"/>
    <col min="3079" max="3079" width="8.375" style="63" customWidth="1"/>
    <col min="3080" max="3080" width="13.375" style="63" customWidth="1"/>
    <col min="3081" max="3081" width="10.875" style="63"/>
    <col min="3082" max="3082" width="12.125" style="63" customWidth="1"/>
    <col min="3083" max="3083" width="9.625" style="63" customWidth="1"/>
    <col min="3084" max="3084" width="8.375" style="63" customWidth="1"/>
    <col min="3085" max="3085" width="13.375" style="63" customWidth="1"/>
    <col min="3086" max="3154" width="10.875" style="63"/>
    <col min="3155" max="3206" width="13.375" style="63" customWidth="1"/>
    <col min="3207" max="3328" width="10.875" style="63"/>
    <col min="3329" max="3329" width="13.375" style="63" customWidth="1"/>
    <col min="3330" max="3330" width="9.625" style="63" customWidth="1"/>
    <col min="3331" max="3331" width="14.625" style="63" customWidth="1"/>
    <col min="3332" max="3332" width="10.875" style="63"/>
    <col min="3333" max="3333" width="12.125" style="63" customWidth="1"/>
    <col min="3334" max="3334" width="10.875" style="63"/>
    <col min="3335" max="3335" width="8.375" style="63" customWidth="1"/>
    <col min="3336" max="3336" width="13.375" style="63" customWidth="1"/>
    <col min="3337" max="3337" width="10.875" style="63"/>
    <col min="3338" max="3338" width="12.125" style="63" customWidth="1"/>
    <col min="3339" max="3339" width="9.625" style="63" customWidth="1"/>
    <col min="3340" max="3340" width="8.375" style="63" customWidth="1"/>
    <col min="3341" max="3341" width="13.375" style="63" customWidth="1"/>
    <col min="3342" max="3410" width="10.875" style="63"/>
    <col min="3411" max="3462" width="13.375" style="63" customWidth="1"/>
    <col min="3463" max="3584" width="10.875" style="63"/>
    <col min="3585" max="3585" width="13.375" style="63" customWidth="1"/>
    <col min="3586" max="3586" width="9.625" style="63" customWidth="1"/>
    <col min="3587" max="3587" width="14.625" style="63" customWidth="1"/>
    <col min="3588" max="3588" width="10.875" style="63"/>
    <col min="3589" max="3589" width="12.125" style="63" customWidth="1"/>
    <col min="3590" max="3590" width="10.875" style="63"/>
    <col min="3591" max="3591" width="8.375" style="63" customWidth="1"/>
    <col min="3592" max="3592" width="13.375" style="63" customWidth="1"/>
    <col min="3593" max="3593" width="10.875" style="63"/>
    <col min="3594" max="3594" width="12.125" style="63" customWidth="1"/>
    <col min="3595" max="3595" width="9.625" style="63" customWidth="1"/>
    <col min="3596" max="3596" width="8.375" style="63" customWidth="1"/>
    <col min="3597" max="3597" width="13.375" style="63" customWidth="1"/>
    <col min="3598" max="3666" width="10.875" style="63"/>
    <col min="3667" max="3718" width="13.375" style="63" customWidth="1"/>
    <col min="3719" max="3840" width="10.875" style="63"/>
    <col min="3841" max="3841" width="13.375" style="63" customWidth="1"/>
    <col min="3842" max="3842" width="9.625" style="63" customWidth="1"/>
    <col min="3843" max="3843" width="14.625" style="63" customWidth="1"/>
    <col min="3844" max="3844" width="10.875" style="63"/>
    <col min="3845" max="3845" width="12.125" style="63" customWidth="1"/>
    <col min="3846" max="3846" width="10.875" style="63"/>
    <col min="3847" max="3847" width="8.375" style="63" customWidth="1"/>
    <col min="3848" max="3848" width="13.375" style="63" customWidth="1"/>
    <col min="3849" max="3849" width="10.875" style="63"/>
    <col min="3850" max="3850" width="12.125" style="63" customWidth="1"/>
    <col min="3851" max="3851" width="9.625" style="63" customWidth="1"/>
    <col min="3852" max="3852" width="8.375" style="63" customWidth="1"/>
    <col min="3853" max="3853" width="13.375" style="63" customWidth="1"/>
    <col min="3854" max="3922" width="10.875" style="63"/>
    <col min="3923" max="3974" width="13.375" style="63" customWidth="1"/>
    <col min="3975" max="4096" width="10.875" style="63"/>
    <col min="4097" max="4097" width="13.375" style="63" customWidth="1"/>
    <col min="4098" max="4098" width="9.625" style="63" customWidth="1"/>
    <col min="4099" max="4099" width="14.625" style="63" customWidth="1"/>
    <col min="4100" max="4100" width="10.875" style="63"/>
    <col min="4101" max="4101" width="12.125" style="63" customWidth="1"/>
    <col min="4102" max="4102" width="10.875" style="63"/>
    <col min="4103" max="4103" width="8.375" style="63" customWidth="1"/>
    <col min="4104" max="4104" width="13.375" style="63" customWidth="1"/>
    <col min="4105" max="4105" width="10.875" style="63"/>
    <col min="4106" max="4106" width="12.125" style="63" customWidth="1"/>
    <col min="4107" max="4107" width="9.625" style="63" customWidth="1"/>
    <col min="4108" max="4108" width="8.375" style="63" customWidth="1"/>
    <col min="4109" max="4109" width="13.375" style="63" customWidth="1"/>
    <col min="4110" max="4178" width="10.875" style="63"/>
    <col min="4179" max="4230" width="13.375" style="63" customWidth="1"/>
    <col min="4231" max="4352" width="10.875" style="63"/>
    <col min="4353" max="4353" width="13.375" style="63" customWidth="1"/>
    <col min="4354" max="4354" width="9.625" style="63" customWidth="1"/>
    <col min="4355" max="4355" width="14.625" style="63" customWidth="1"/>
    <col min="4356" max="4356" width="10.875" style="63"/>
    <col min="4357" max="4357" width="12.125" style="63" customWidth="1"/>
    <col min="4358" max="4358" width="10.875" style="63"/>
    <col min="4359" max="4359" width="8.375" style="63" customWidth="1"/>
    <col min="4360" max="4360" width="13.375" style="63" customWidth="1"/>
    <col min="4361" max="4361" width="10.875" style="63"/>
    <col min="4362" max="4362" width="12.125" style="63" customWidth="1"/>
    <col min="4363" max="4363" width="9.625" style="63" customWidth="1"/>
    <col min="4364" max="4364" width="8.375" style="63" customWidth="1"/>
    <col min="4365" max="4365" width="13.375" style="63" customWidth="1"/>
    <col min="4366" max="4434" width="10.875" style="63"/>
    <col min="4435" max="4486" width="13.375" style="63" customWidth="1"/>
    <col min="4487" max="4608" width="10.875" style="63"/>
    <col min="4609" max="4609" width="13.375" style="63" customWidth="1"/>
    <col min="4610" max="4610" width="9.625" style="63" customWidth="1"/>
    <col min="4611" max="4611" width="14.625" style="63" customWidth="1"/>
    <col min="4612" max="4612" width="10.875" style="63"/>
    <col min="4613" max="4613" width="12.125" style="63" customWidth="1"/>
    <col min="4614" max="4614" width="10.875" style="63"/>
    <col min="4615" max="4615" width="8.375" style="63" customWidth="1"/>
    <col min="4616" max="4616" width="13.375" style="63" customWidth="1"/>
    <col min="4617" max="4617" width="10.875" style="63"/>
    <col min="4618" max="4618" width="12.125" style="63" customWidth="1"/>
    <col min="4619" max="4619" width="9.625" style="63" customWidth="1"/>
    <col min="4620" max="4620" width="8.375" style="63" customWidth="1"/>
    <col min="4621" max="4621" width="13.375" style="63" customWidth="1"/>
    <col min="4622" max="4690" width="10.875" style="63"/>
    <col min="4691" max="4742" width="13.375" style="63" customWidth="1"/>
    <col min="4743" max="4864" width="10.875" style="63"/>
    <col min="4865" max="4865" width="13.375" style="63" customWidth="1"/>
    <col min="4866" max="4866" width="9.625" style="63" customWidth="1"/>
    <col min="4867" max="4867" width="14.625" style="63" customWidth="1"/>
    <col min="4868" max="4868" width="10.875" style="63"/>
    <col min="4869" max="4869" width="12.125" style="63" customWidth="1"/>
    <col min="4870" max="4870" width="10.875" style="63"/>
    <col min="4871" max="4871" width="8.375" style="63" customWidth="1"/>
    <col min="4872" max="4872" width="13.375" style="63" customWidth="1"/>
    <col min="4873" max="4873" width="10.875" style="63"/>
    <col min="4874" max="4874" width="12.125" style="63" customWidth="1"/>
    <col min="4875" max="4875" width="9.625" style="63" customWidth="1"/>
    <col min="4876" max="4876" width="8.375" style="63" customWidth="1"/>
    <col min="4877" max="4877" width="13.375" style="63" customWidth="1"/>
    <col min="4878" max="4946" width="10.875" style="63"/>
    <col min="4947" max="4998" width="13.375" style="63" customWidth="1"/>
    <col min="4999" max="5120" width="10.875" style="63"/>
    <col min="5121" max="5121" width="13.375" style="63" customWidth="1"/>
    <col min="5122" max="5122" width="9.625" style="63" customWidth="1"/>
    <col min="5123" max="5123" width="14.625" style="63" customWidth="1"/>
    <col min="5124" max="5124" width="10.875" style="63"/>
    <col min="5125" max="5125" width="12.125" style="63" customWidth="1"/>
    <col min="5126" max="5126" width="10.875" style="63"/>
    <col min="5127" max="5127" width="8.375" style="63" customWidth="1"/>
    <col min="5128" max="5128" width="13.375" style="63" customWidth="1"/>
    <col min="5129" max="5129" width="10.875" style="63"/>
    <col min="5130" max="5130" width="12.125" style="63" customWidth="1"/>
    <col min="5131" max="5131" width="9.625" style="63" customWidth="1"/>
    <col min="5132" max="5132" width="8.375" style="63" customWidth="1"/>
    <col min="5133" max="5133" width="13.375" style="63" customWidth="1"/>
    <col min="5134" max="5202" width="10.875" style="63"/>
    <col min="5203" max="5254" width="13.375" style="63" customWidth="1"/>
    <col min="5255" max="5376" width="10.875" style="63"/>
    <col min="5377" max="5377" width="13.375" style="63" customWidth="1"/>
    <col min="5378" max="5378" width="9.625" style="63" customWidth="1"/>
    <col min="5379" max="5379" width="14.625" style="63" customWidth="1"/>
    <col min="5380" max="5380" width="10.875" style="63"/>
    <col min="5381" max="5381" width="12.125" style="63" customWidth="1"/>
    <col min="5382" max="5382" width="10.875" style="63"/>
    <col min="5383" max="5383" width="8.375" style="63" customWidth="1"/>
    <col min="5384" max="5384" width="13.375" style="63" customWidth="1"/>
    <col min="5385" max="5385" width="10.875" style="63"/>
    <col min="5386" max="5386" width="12.125" style="63" customWidth="1"/>
    <col min="5387" max="5387" width="9.625" style="63" customWidth="1"/>
    <col min="5388" max="5388" width="8.375" style="63" customWidth="1"/>
    <col min="5389" max="5389" width="13.375" style="63" customWidth="1"/>
    <col min="5390" max="5458" width="10.875" style="63"/>
    <col min="5459" max="5510" width="13.375" style="63" customWidth="1"/>
    <col min="5511" max="5632" width="10.875" style="63"/>
    <col min="5633" max="5633" width="13.375" style="63" customWidth="1"/>
    <col min="5634" max="5634" width="9.625" style="63" customWidth="1"/>
    <col min="5635" max="5635" width="14.625" style="63" customWidth="1"/>
    <col min="5636" max="5636" width="10.875" style="63"/>
    <col min="5637" max="5637" width="12.125" style="63" customWidth="1"/>
    <col min="5638" max="5638" width="10.875" style="63"/>
    <col min="5639" max="5639" width="8.375" style="63" customWidth="1"/>
    <col min="5640" max="5640" width="13.375" style="63" customWidth="1"/>
    <col min="5641" max="5641" width="10.875" style="63"/>
    <col min="5642" max="5642" width="12.125" style="63" customWidth="1"/>
    <col min="5643" max="5643" width="9.625" style="63" customWidth="1"/>
    <col min="5644" max="5644" width="8.375" style="63" customWidth="1"/>
    <col min="5645" max="5645" width="13.375" style="63" customWidth="1"/>
    <col min="5646" max="5714" width="10.875" style="63"/>
    <col min="5715" max="5766" width="13.375" style="63" customWidth="1"/>
    <col min="5767" max="5888" width="10.875" style="63"/>
    <col min="5889" max="5889" width="13.375" style="63" customWidth="1"/>
    <col min="5890" max="5890" width="9.625" style="63" customWidth="1"/>
    <col min="5891" max="5891" width="14.625" style="63" customWidth="1"/>
    <col min="5892" max="5892" width="10.875" style="63"/>
    <col min="5893" max="5893" width="12.125" style="63" customWidth="1"/>
    <col min="5894" max="5894" width="10.875" style="63"/>
    <col min="5895" max="5895" width="8.375" style="63" customWidth="1"/>
    <col min="5896" max="5896" width="13.375" style="63" customWidth="1"/>
    <col min="5897" max="5897" width="10.875" style="63"/>
    <col min="5898" max="5898" width="12.125" style="63" customWidth="1"/>
    <col min="5899" max="5899" width="9.625" style="63" customWidth="1"/>
    <col min="5900" max="5900" width="8.375" style="63" customWidth="1"/>
    <col min="5901" max="5901" width="13.375" style="63" customWidth="1"/>
    <col min="5902" max="5970" width="10.875" style="63"/>
    <col min="5971" max="6022" width="13.375" style="63" customWidth="1"/>
    <col min="6023" max="6144" width="10.875" style="63"/>
    <col min="6145" max="6145" width="13.375" style="63" customWidth="1"/>
    <col min="6146" max="6146" width="9.625" style="63" customWidth="1"/>
    <col min="6147" max="6147" width="14.625" style="63" customWidth="1"/>
    <col min="6148" max="6148" width="10.875" style="63"/>
    <col min="6149" max="6149" width="12.125" style="63" customWidth="1"/>
    <col min="6150" max="6150" width="10.875" style="63"/>
    <col min="6151" max="6151" width="8.375" style="63" customWidth="1"/>
    <col min="6152" max="6152" width="13.375" style="63" customWidth="1"/>
    <col min="6153" max="6153" width="10.875" style="63"/>
    <col min="6154" max="6154" width="12.125" style="63" customWidth="1"/>
    <col min="6155" max="6155" width="9.625" style="63" customWidth="1"/>
    <col min="6156" max="6156" width="8.375" style="63" customWidth="1"/>
    <col min="6157" max="6157" width="13.375" style="63" customWidth="1"/>
    <col min="6158" max="6226" width="10.875" style="63"/>
    <col min="6227" max="6278" width="13.375" style="63" customWidth="1"/>
    <col min="6279" max="6400" width="10.875" style="63"/>
    <col min="6401" max="6401" width="13.375" style="63" customWidth="1"/>
    <col min="6402" max="6402" width="9.625" style="63" customWidth="1"/>
    <col min="6403" max="6403" width="14.625" style="63" customWidth="1"/>
    <col min="6404" max="6404" width="10.875" style="63"/>
    <col min="6405" max="6405" width="12.125" style="63" customWidth="1"/>
    <col min="6406" max="6406" width="10.875" style="63"/>
    <col min="6407" max="6407" width="8.375" style="63" customWidth="1"/>
    <col min="6408" max="6408" width="13.375" style="63" customWidth="1"/>
    <col min="6409" max="6409" width="10.875" style="63"/>
    <col min="6410" max="6410" width="12.125" style="63" customWidth="1"/>
    <col min="6411" max="6411" width="9.625" style="63" customWidth="1"/>
    <col min="6412" max="6412" width="8.375" style="63" customWidth="1"/>
    <col min="6413" max="6413" width="13.375" style="63" customWidth="1"/>
    <col min="6414" max="6482" width="10.875" style="63"/>
    <col min="6483" max="6534" width="13.375" style="63" customWidth="1"/>
    <col min="6535" max="6656" width="10.875" style="63"/>
    <col min="6657" max="6657" width="13.375" style="63" customWidth="1"/>
    <col min="6658" max="6658" width="9.625" style="63" customWidth="1"/>
    <col min="6659" max="6659" width="14.625" style="63" customWidth="1"/>
    <col min="6660" max="6660" width="10.875" style="63"/>
    <col min="6661" max="6661" width="12.125" style="63" customWidth="1"/>
    <col min="6662" max="6662" width="10.875" style="63"/>
    <col min="6663" max="6663" width="8.375" style="63" customWidth="1"/>
    <col min="6664" max="6664" width="13.375" style="63" customWidth="1"/>
    <col min="6665" max="6665" width="10.875" style="63"/>
    <col min="6666" max="6666" width="12.125" style="63" customWidth="1"/>
    <col min="6667" max="6667" width="9.625" style="63" customWidth="1"/>
    <col min="6668" max="6668" width="8.375" style="63" customWidth="1"/>
    <col min="6669" max="6669" width="13.375" style="63" customWidth="1"/>
    <col min="6670" max="6738" width="10.875" style="63"/>
    <col min="6739" max="6790" width="13.375" style="63" customWidth="1"/>
    <col min="6791" max="6912" width="10.875" style="63"/>
    <col min="6913" max="6913" width="13.375" style="63" customWidth="1"/>
    <col min="6914" max="6914" width="9.625" style="63" customWidth="1"/>
    <col min="6915" max="6915" width="14.625" style="63" customWidth="1"/>
    <col min="6916" max="6916" width="10.875" style="63"/>
    <col min="6917" max="6917" width="12.125" style="63" customWidth="1"/>
    <col min="6918" max="6918" width="10.875" style="63"/>
    <col min="6919" max="6919" width="8.375" style="63" customWidth="1"/>
    <col min="6920" max="6920" width="13.375" style="63" customWidth="1"/>
    <col min="6921" max="6921" width="10.875" style="63"/>
    <col min="6922" max="6922" width="12.125" style="63" customWidth="1"/>
    <col min="6923" max="6923" width="9.625" style="63" customWidth="1"/>
    <col min="6924" max="6924" width="8.375" style="63" customWidth="1"/>
    <col min="6925" max="6925" width="13.375" style="63" customWidth="1"/>
    <col min="6926" max="6994" width="10.875" style="63"/>
    <col min="6995" max="7046" width="13.375" style="63" customWidth="1"/>
    <col min="7047" max="7168" width="10.875" style="63"/>
    <col min="7169" max="7169" width="13.375" style="63" customWidth="1"/>
    <col min="7170" max="7170" width="9.625" style="63" customWidth="1"/>
    <col min="7171" max="7171" width="14.625" style="63" customWidth="1"/>
    <col min="7172" max="7172" width="10.875" style="63"/>
    <col min="7173" max="7173" width="12.125" style="63" customWidth="1"/>
    <col min="7174" max="7174" width="10.875" style="63"/>
    <col min="7175" max="7175" width="8.375" style="63" customWidth="1"/>
    <col min="7176" max="7176" width="13.375" style="63" customWidth="1"/>
    <col min="7177" max="7177" width="10.875" style="63"/>
    <col min="7178" max="7178" width="12.125" style="63" customWidth="1"/>
    <col min="7179" max="7179" width="9.625" style="63" customWidth="1"/>
    <col min="7180" max="7180" width="8.375" style="63" customWidth="1"/>
    <col min="7181" max="7181" width="13.375" style="63" customWidth="1"/>
    <col min="7182" max="7250" width="10.875" style="63"/>
    <col min="7251" max="7302" width="13.375" style="63" customWidth="1"/>
    <col min="7303" max="7424" width="10.875" style="63"/>
    <col min="7425" max="7425" width="13.375" style="63" customWidth="1"/>
    <col min="7426" max="7426" width="9.625" style="63" customWidth="1"/>
    <col min="7427" max="7427" width="14.625" style="63" customWidth="1"/>
    <col min="7428" max="7428" width="10.875" style="63"/>
    <col min="7429" max="7429" width="12.125" style="63" customWidth="1"/>
    <col min="7430" max="7430" width="10.875" style="63"/>
    <col min="7431" max="7431" width="8.375" style="63" customWidth="1"/>
    <col min="7432" max="7432" width="13.375" style="63" customWidth="1"/>
    <col min="7433" max="7433" width="10.875" style="63"/>
    <col min="7434" max="7434" width="12.125" style="63" customWidth="1"/>
    <col min="7435" max="7435" width="9.625" style="63" customWidth="1"/>
    <col min="7436" max="7436" width="8.375" style="63" customWidth="1"/>
    <col min="7437" max="7437" width="13.375" style="63" customWidth="1"/>
    <col min="7438" max="7506" width="10.875" style="63"/>
    <col min="7507" max="7558" width="13.375" style="63" customWidth="1"/>
    <col min="7559" max="7680" width="10.875" style="63"/>
    <col min="7681" max="7681" width="13.375" style="63" customWidth="1"/>
    <col min="7682" max="7682" width="9.625" style="63" customWidth="1"/>
    <col min="7683" max="7683" width="14.625" style="63" customWidth="1"/>
    <col min="7684" max="7684" width="10.875" style="63"/>
    <col min="7685" max="7685" width="12.125" style="63" customWidth="1"/>
    <col min="7686" max="7686" width="10.875" style="63"/>
    <col min="7687" max="7687" width="8.375" style="63" customWidth="1"/>
    <col min="7688" max="7688" width="13.375" style="63" customWidth="1"/>
    <col min="7689" max="7689" width="10.875" style="63"/>
    <col min="7690" max="7690" width="12.125" style="63" customWidth="1"/>
    <col min="7691" max="7691" width="9.625" style="63" customWidth="1"/>
    <col min="7692" max="7692" width="8.375" style="63" customWidth="1"/>
    <col min="7693" max="7693" width="13.375" style="63" customWidth="1"/>
    <col min="7694" max="7762" width="10.875" style="63"/>
    <col min="7763" max="7814" width="13.375" style="63" customWidth="1"/>
    <col min="7815" max="7936" width="10.875" style="63"/>
    <col min="7937" max="7937" width="13.375" style="63" customWidth="1"/>
    <col min="7938" max="7938" width="9.625" style="63" customWidth="1"/>
    <col min="7939" max="7939" width="14.625" style="63" customWidth="1"/>
    <col min="7940" max="7940" width="10.875" style="63"/>
    <col min="7941" max="7941" width="12.125" style="63" customWidth="1"/>
    <col min="7942" max="7942" width="10.875" style="63"/>
    <col min="7943" max="7943" width="8.375" style="63" customWidth="1"/>
    <col min="7944" max="7944" width="13.375" style="63" customWidth="1"/>
    <col min="7945" max="7945" width="10.875" style="63"/>
    <col min="7946" max="7946" width="12.125" style="63" customWidth="1"/>
    <col min="7947" max="7947" width="9.625" style="63" customWidth="1"/>
    <col min="7948" max="7948" width="8.375" style="63" customWidth="1"/>
    <col min="7949" max="7949" width="13.375" style="63" customWidth="1"/>
    <col min="7950" max="8018" width="10.875" style="63"/>
    <col min="8019" max="8070" width="13.375" style="63" customWidth="1"/>
    <col min="8071" max="8192" width="10.875" style="63"/>
    <col min="8193" max="8193" width="13.375" style="63" customWidth="1"/>
    <col min="8194" max="8194" width="9.625" style="63" customWidth="1"/>
    <col min="8195" max="8195" width="14.625" style="63" customWidth="1"/>
    <col min="8196" max="8196" width="10.875" style="63"/>
    <col min="8197" max="8197" width="12.125" style="63" customWidth="1"/>
    <col min="8198" max="8198" width="10.875" style="63"/>
    <col min="8199" max="8199" width="8.375" style="63" customWidth="1"/>
    <col min="8200" max="8200" width="13.375" style="63" customWidth="1"/>
    <col min="8201" max="8201" width="10.875" style="63"/>
    <col min="8202" max="8202" width="12.125" style="63" customWidth="1"/>
    <col min="8203" max="8203" width="9.625" style="63" customWidth="1"/>
    <col min="8204" max="8204" width="8.375" style="63" customWidth="1"/>
    <col min="8205" max="8205" width="13.375" style="63" customWidth="1"/>
    <col min="8206" max="8274" width="10.875" style="63"/>
    <col min="8275" max="8326" width="13.375" style="63" customWidth="1"/>
    <col min="8327" max="8448" width="10.875" style="63"/>
    <col min="8449" max="8449" width="13.375" style="63" customWidth="1"/>
    <col min="8450" max="8450" width="9.625" style="63" customWidth="1"/>
    <col min="8451" max="8451" width="14.625" style="63" customWidth="1"/>
    <col min="8452" max="8452" width="10.875" style="63"/>
    <col min="8453" max="8453" width="12.125" style="63" customWidth="1"/>
    <col min="8454" max="8454" width="10.875" style="63"/>
    <col min="8455" max="8455" width="8.375" style="63" customWidth="1"/>
    <col min="8456" max="8456" width="13.375" style="63" customWidth="1"/>
    <col min="8457" max="8457" width="10.875" style="63"/>
    <col min="8458" max="8458" width="12.125" style="63" customWidth="1"/>
    <col min="8459" max="8459" width="9.625" style="63" customWidth="1"/>
    <col min="8460" max="8460" width="8.375" style="63" customWidth="1"/>
    <col min="8461" max="8461" width="13.375" style="63" customWidth="1"/>
    <col min="8462" max="8530" width="10.875" style="63"/>
    <col min="8531" max="8582" width="13.375" style="63" customWidth="1"/>
    <col min="8583" max="8704" width="10.875" style="63"/>
    <col min="8705" max="8705" width="13.375" style="63" customWidth="1"/>
    <col min="8706" max="8706" width="9.625" style="63" customWidth="1"/>
    <col min="8707" max="8707" width="14.625" style="63" customWidth="1"/>
    <col min="8708" max="8708" width="10.875" style="63"/>
    <col min="8709" max="8709" width="12.125" style="63" customWidth="1"/>
    <col min="8710" max="8710" width="10.875" style="63"/>
    <col min="8711" max="8711" width="8.375" style="63" customWidth="1"/>
    <col min="8712" max="8712" width="13.375" style="63" customWidth="1"/>
    <col min="8713" max="8713" width="10.875" style="63"/>
    <col min="8714" max="8714" width="12.125" style="63" customWidth="1"/>
    <col min="8715" max="8715" width="9.625" style="63" customWidth="1"/>
    <col min="8716" max="8716" width="8.375" style="63" customWidth="1"/>
    <col min="8717" max="8717" width="13.375" style="63" customWidth="1"/>
    <col min="8718" max="8786" width="10.875" style="63"/>
    <col min="8787" max="8838" width="13.375" style="63" customWidth="1"/>
    <col min="8839" max="8960" width="10.875" style="63"/>
    <col min="8961" max="8961" width="13.375" style="63" customWidth="1"/>
    <col min="8962" max="8962" width="9.625" style="63" customWidth="1"/>
    <col min="8963" max="8963" width="14.625" style="63" customWidth="1"/>
    <col min="8964" max="8964" width="10.875" style="63"/>
    <col min="8965" max="8965" width="12.125" style="63" customWidth="1"/>
    <col min="8966" max="8966" width="10.875" style="63"/>
    <col min="8967" max="8967" width="8.375" style="63" customWidth="1"/>
    <col min="8968" max="8968" width="13.375" style="63" customWidth="1"/>
    <col min="8969" max="8969" width="10.875" style="63"/>
    <col min="8970" max="8970" width="12.125" style="63" customWidth="1"/>
    <col min="8971" max="8971" width="9.625" style="63" customWidth="1"/>
    <col min="8972" max="8972" width="8.375" style="63" customWidth="1"/>
    <col min="8973" max="8973" width="13.375" style="63" customWidth="1"/>
    <col min="8974" max="9042" width="10.875" style="63"/>
    <col min="9043" max="9094" width="13.375" style="63" customWidth="1"/>
    <col min="9095" max="9216" width="10.875" style="63"/>
    <col min="9217" max="9217" width="13.375" style="63" customWidth="1"/>
    <col min="9218" max="9218" width="9.625" style="63" customWidth="1"/>
    <col min="9219" max="9219" width="14.625" style="63" customWidth="1"/>
    <col min="9220" max="9220" width="10.875" style="63"/>
    <col min="9221" max="9221" width="12.125" style="63" customWidth="1"/>
    <col min="9222" max="9222" width="10.875" style="63"/>
    <col min="9223" max="9223" width="8.375" style="63" customWidth="1"/>
    <col min="9224" max="9224" width="13.375" style="63" customWidth="1"/>
    <col min="9225" max="9225" width="10.875" style="63"/>
    <col min="9226" max="9226" width="12.125" style="63" customWidth="1"/>
    <col min="9227" max="9227" width="9.625" style="63" customWidth="1"/>
    <col min="9228" max="9228" width="8.375" style="63" customWidth="1"/>
    <col min="9229" max="9229" width="13.375" style="63" customWidth="1"/>
    <col min="9230" max="9298" width="10.875" style="63"/>
    <col min="9299" max="9350" width="13.375" style="63" customWidth="1"/>
    <col min="9351" max="9472" width="10.875" style="63"/>
    <col min="9473" max="9473" width="13.375" style="63" customWidth="1"/>
    <col min="9474" max="9474" width="9.625" style="63" customWidth="1"/>
    <col min="9475" max="9475" width="14.625" style="63" customWidth="1"/>
    <col min="9476" max="9476" width="10.875" style="63"/>
    <col min="9477" max="9477" width="12.125" style="63" customWidth="1"/>
    <col min="9478" max="9478" width="10.875" style="63"/>
    <col min="9479" max="9479" width="8.375" style="63" customWidth="1"/>
    <col min="9480" max="9480" width="13.375" style="63" customWidth="1"/>
    <col min="9481" max="9481" width="10.875" style="63"/>
    <col min="9482" max="9482" width="12.125" style="63" customWidth="1"/>
    <col min="9483" max="9483" width="9.625" style="63" customWidth="1"/>
    <col min="9484" max="9484" width="8.375" style="63" customWidth="1"/>
    <col min="9485" max="9485" width="13.375" style="63" customWidth="1"/>
    <col min="9486" max="9554" width="10.875" style="63"/>
    <col min="9555" max="9606" width="13.375" style="63" customWidth="1"/>
    <col min="9607" max="9728" width="10.875" style="63"/>
    <col min="9729" max="9729" width="13.375" style="63" customWidth="1"/>
    <col min="9730" max="9730" width="9.625" style="63" customWidth="1"/>
    <col min="9731" max="9731" width="14.625" style="63" customWidth="1"/>
    <col min="9732" max="9732" width="10.875" style="63"/>
    <col min="9733" max="9733" width="12.125" style="63" customWidth="1"/>
    <col min="9734" max="9734" width="10.875" style="63"/>
    <col min="9735" max="9735" width="8.375" style="63" customWidth="1"/>
    <col min="9736" max="9736" width="13.375" style="63" customWidth="1"/>
    <col min="9737" max="9737" width="10.875" style="63"/>
    <col min="9738" max="9738" width="12.125" style="63" customWidth="1"/>
    <col min="9739" max="9739" width="9.625" style="63" customWidth="1"/>
    <col min="9740" max="9740" width="8.375" style="63" customWidth="1"/>
    <col min="9741" max="9741" width="13.375" style="63" customWidth="1"/>
    <col min="9742" max="9810" width="10.875" style="63"/>
    <col min="9811" max="9862" width="13.375" style="63" customWidth="1"/>
    <col min="9863" max="9984" width="10.875" style="63"/>
    <col min="9985" max="9985" width="13.375" style="63" customWidth="1"/>
    <col min="9986" max="9986" width="9.625" style="63" customWidth="1"/>
    <col min="9987" max="9987" width="14.625" style="63" customWidth="1"/>
    <col min="9988" max="9988" width="10.875" style="63"/>
    <col min="9989" max="9989" width="12.125" style="63" customWidth="1"/>
    <col min="9990" max="9990" width="10.875" style="63"/>
    <col min="9991" max="9991" width="8.375" style="63" customWidth="1"/>
    <col min="9992" max="9992" width="13.375" style="63" customWidth="1"/>
    <col min="9993" max="9993" width="10.875" style="63"/>
    <col min="9994" max="9994" width="12.125" style="63" customWidth="1"/>
    <col min="9995" max="9995" width="9.625" style="63" customWidth="1"/>
    <col min="9996" max="9996" width="8.375" style="63" customWidth="1"/>
    <col min="9997" max="9997" width="13.375" style="63" customWidth="1"/>
    <col min="9998" max="10066" width="10.875" style="63"/>
    <col min="10067" max="10118" width="13.375" style="63" customWidth="1"/>
    <col min="10119" max="10240" width="10.875" style="63"/>
    <col min="10241" max="10241" width="13.375" style="63" customWidth="1"/>
    <col min="10242" max="10242" width="9.625" style="63" customWidth="1"/>
    <col min="10243" max="10243" width="14.625" style="63" customWidth="1"/>
    <col min="10244" max="10244" width="10.875" style="63"/>
    <col min="10245" max="10245" width="12.125" style="63" customWidth="1"/>
    <col min="10246" max="10246" width="10.875" style="63"/>
    <col min="10247" max="10247" width="8.375" style="63" customWidth="1"/>
    <col min="10248" max="10248" width="13.375" style="63" customWidth="1"/>
    <col min="10249" max="10249" width="10.875" style="63"/>
    <col min="10250" max="10250" width="12.125" style="63" customWidth="1"/>
    <col min="10251" max="10251" width="9.625" style="63" customWidth="1"/>
    <col min="10252" max="10252" width="8.375" style="63" customWidth="1"/>
    <col min="10253" max="10253" width="13.375" style="63" customWidth="1"/>
    <col min="10254" max="10322" width="10.875" style="63"/>
    <col min="10323" max="10374" width="13.375" style="63" customWidth="1"/>
    <col min="10375" max="10496" width="10.875" style="63"/>
    <col min="10497" max="10497" width="13.375" style="63" customWidth="1"/>
    <col min="10498" max="10498" width="9.625" style="63" customWidth="1"/>
    <col min="10499" max="10499" width="14.625" style="63" customWidth="1"/>
    <col min="10500" max="10500" width="10.875" style="63"/>
    <col min="10501" max="10501" width="12.125" style="63" customWidth="1"/>
    <col min="10502" max="10502" width="10.875" style="63"/>
    <col min="10503" max="10503" width="8.375" style="63" customWidth="1"/>
    <col min="10504" max="10504" width="13.375" style="63" customWidth="1"/>
    <col min="10505" max="10505" width="10.875" style="63"/>
    <col min="10506" max="10506" width="12.125" style="63" customWidth="1"/>
    <col min="10507" max="10507" width="9.625" style="63" customWidth="1"/>
    <col min="10508" max="10508" width="8.375" style="63" customWidth="1"/>
    <col min="10509" max="10509" width="13.375" style="63" customWidth="1"/>
    <col min="10510" max="10578" width="10.875" style="63"/>
    <col min="10579" max="10630" width="13.375" style="63" customWidth="1"/>
    <col min="10631" max="10752" width="10.875" style="63"/>
    <col min="10753" max="10753" width="13.375" style="63" customWidth="1"/>
    <col min="10754" max="10754" width="9.625" style="63" customWidth="1"/>
    <col min="10755" max="10755" width="14.625" style="63" customWidth="1"/>
    <col min="10756" max="10756" width="10.875" style="63"/>
    <col min="10757" max="10757" width="12.125" style="63" customWidth="1"/>
    <col min="10758" max="10758" width="10.875" style="63"/>
    <col min="10759" max="10759" width="8.375" style="63" customWidth="1"/>
    <col min="10760" max="10760" width="13.375" style="63" customWidth="1"/>
    <col min="10761" max="10761" width="10.875" style="63"/>
    <col min="10762" max="10762" width="12.125" style="63" customWidth="1"/>
    <col min="10763" max="10763" width="9.625" style="63" customWidth="1"/>
    <col min="10764" max="10764" width="8.375" style="63" customWidth="1"/>
    <col min="10765" max="10765" width="13.375" style="63" customWidth="1"/>
    <col min="10766" max="10834" width="10.875" style="63"/>
    <col min="10835" max="10886" width="13.375" style="63" customWidth="1"/>
    <col min="10887" max="11008" width="10.875" style="63"/>
    <col min="11009" max="11009" width="13.375" style="63" customWidth="1"/>
    <col min="11010" max="11010" width="9.625" style="63" customWidth="1"/>
    <col min="11011" max="11011" width="14.625" style="63" customWidth="1"/>
    <col min="11012" max="11012" width="10.875" style="63"/>
    <col min="11013" max="11013" width="12.125" style="63" customWidth="1"/>
    <col min="11014" max="11014" width="10.875" style="63"/>
    <col min="11015" max="11015" width="8.375" style="63" customWidth="1"/>
    <col min="11016" max="11016" width="13.375" style="63" customWidth="1"/>
    <col min="11017" max="11017" width="10.875" style="63"/>
    <col min="11018" max="11018" width="12.125" style="63" customWidth="1"/>
    <col min="11019" max="11019" width="9.625" style="63" customWidth="1"/>
    <col min="11020" max="11020" width="8.375" style="63" customWidth="1"/>
    <col min="11021" max="11021" width="13.375" style="63" customWidth="1"/>
    <col min="11022" max="11090" width="10.875" style="63"/>
    <col min="11091" max="11142" width="13.375" style="63" customWidth="1"/>
    <col min="11143" max="11264" width="10.875" style="63"/>
    <col min="11265" max="11265" width="13.375" style="63" customWidth="1"/>
    <col min="11266" max="11266" width="9.625" style="63" customWidth="1"/>
    <col min="11267" max="11267" width="14.625" style="63" customWidth="1"/>
    <col min="11268" max="11268" width="10.875" style="63"/>
    <col min="11269" max="11269" width="12.125" style="63" customWidth="1"/>
    <col min="11270" max="11270" width="10.875" style="63"/>
    <col min="11271" max="11271" width="8.375" style="63" customWidth="1"/>
    <col min="11272" max="11272" width="13.375" style="63" customWidth="1"/>
    <col min="11273" max="11273" width="10.875" style="63"/>
    <col min="11274" max="11274" width="12.125" style="63" customWidth="1"/>
    <col min="11275" max="11275" width="9.625" style="63" customWidth="1"/>
    <col min="11276" max="11276" width="8.375" style="63" customWidth="1"/>
    <col min="11277" max="11277" width="13.375" style="63" customWidth="1"/>
    <col min="11278" max="11346" width="10.875" style="63"/>
    <col min="11347" max="11398" width="13.375" style="63" customWidth="1"/>
    <col min="11399" max="11520" width="10.875" style="63"/>
    <col min="11521" max="11521" width="13.375" style="63" customWidth="1"/>
    <col min="11522" max="11522" width="9.625" style="63" customWidth="1"/>
    <col min="11523" max="11523" width="14.625" style="63" customWidth="1"/>
    <col min="11524" max="11524" width="10.875" style="63"/>
    <col min="11525" max="11525" width="12.125" style="63" customWidth="1"/>
    <col min="11526" max="11526" width="10.875" style="63"/>
    <col min="11527" max="11527" width="8.375" style="63" customWidth="1"/>
    <col min="11528" max="11528" width="13.375" style="63" customWidth="1"/>
    <col min="11529" max="11529" width="10.875" style="63"/>
    <col min="11530" max="11530" width="12.125" style="63" customWidth="1"/>
    <col min="11531" max="11531" width="9.625" style="63" customWidth="1"/>
    <col min="11532" max="11532" width="8.375" style="63" customWidth="1"/>
    <col min="11533" max="11533" width="13.375" style="63" customWidth="1"/>
    <col min="11534" max="11602" width="10.875" style="63"/>
    <col min="11603" max="11654" width="13.375" style="63" customWidth="1"/>
    <col min="11655" max="11776" width="10.875" style="63"/>
    <col min="11777" max="11777" width="13.375" style="63" customWidth="1"/>
    <col min="11778" max="11778" width="9.625" style="63" customWidth="1"/>
    <col min="11779" max="11779" width="14.625" style="63" customWidth="1"/>
    <col min="11780" max="11780" width="10.875" style="63"/>
    <col min="11781" max="11781" width="12.125" style="63" customWidth="1"/>
    <col min="11782" max="11782" width="10.875" style="63"/>
    <col min="11783" max="11783" width="8.375" style="63" customWidth="1"/>
    <col min="11784" max="11784" width="13.375" style="63" customWidth="1"/>
    <col min="11785" max="11785" width="10.875" style="63"/>
    <col min="11786" max="11786" width="12.125" style="63" customWidth="1"/>
    <col min="11787" max="11787" width="9.625" style="63" customWidth="1"/>
    <col min="11788" max="11788" width="8.375" style="63" customWidth="1"/>
    <col min="11789" max="11789" width="13.375" style="63" customWidth="1"/>
    <col min="11790" max="11858" width="10.875" style="63"/>
    <col min="11859" max="11910" width="13.375" style="63" customWidth="1"/>
    <col min="11911" max="12032" width="10.875" style="63"/>
    <col min="12033" max="12033" width="13.375" style="63" customWidth="1"/>
    <col min="12034" max="12034" width="9.625" style="63" customWidth="1"/>
    <col min="12035" max="12035" width="14.625" style="63" customWidth="1"/>
    <col min="12036" max="12036" width="10.875" style="63"/>
    <col min="12037" max="12037" width="12.125" style="63" customWidth="1"/>
    <col min="12038" max="12038" width="10.875" style="63"/>
    <col min="12039" max="12039" width="8.375" style="63" customWidth="1"/>
    <col min="12040" max="12040" width="13.375" style="63" customWidth="1"/>
    <col min="12041" max="12041" width="10.875" style="63"/>
    <col min="12042" max="12042" width="12.125" style="63" customWidth="1"/>
    <col min="12043" max="12043" width="9.625" style="63" customWidth="1"/>
    <col min="12044" max="12044" width="8.375" style="63" customWidth="1"/>
    <col min="12045" max="12045" width="13.375" style="63" customWidth="1"/>
    <col min="12046" max="12114" width="10.875" style="63"/>
    <col min="12115" max="12166" width="13.375" style="63" customWidth="1"/>
    <col min="12167" max="12288" width="10.875" style="63"/>
    <col min="12289" max="12289" width="13.375" style="63" customWidth="1"/>
    <col min="12290" max="12290" width="9.625" style="63" customWidth="1"/>
    <col min="12291" max="12291" width="14.625" style="63" customWidth="1"/>
    <col min="12292" max="12292" width="10.875" style="63"/>
    <col min="12293" max="12293" width="12.125" style="63" customWidth="1"/>
    <col min="12294" max="12294" width="10.875" style="63"/>
    <col min="12295" max="12295" width="8.375" style="63" customWidth="1"/>
    <col min="12296" max="12296" width="13.375" style="63" customWidth="1"/>
    <col min="12297" max="12297" width="10.875" style="63"/>
    <col min="12298" max="12298" width="12.125" style="63" customWidth="1"/>
    <col min="12299" max="12299" width="9.625" style="63" customWidth="1"/>
    <col min="12300" max="12300" width="8.375" style="63" customWidth="1"/>
    <col min="12301" max="12301" width="13.375" style="63" customWidth="1"/>
    <col min="12302" max="12370" width="10.875" style="63"/>
    <col min="12371" max="12422" width="13.375" style="63" customWidth="1"/>
    <col min="12423" max="12544" width="10.875" style="63"/>
    <col min="12545" max="12545" width="13.375" style="63" customWidth="1"/>
    <col min="12546" max="12546" width="9.625" style="63" customWidth="1"/>
    <col min="12547" max="12547" width="14.625" style="63" customWidth="1"/>
    <col min="12548" max="12548" width="10.875" style="63"/>
    <col min="12549" max="12549" width="12.125" style="63" customWidth="1"/>
    <col min="12550" max="12550" width="10.875" style="63"/>
    <col min="12551" max="12551" width="8.375" style="63" customWidth="1"/>
    <col min="12552" max="12552" width="13.375" style="63" customWidth="1"/>
    <col min="12553" max="12553" width="10.875" style="63"/>
    <col min="12554" max="12554" width="12.125" style="63" customWidth="1"/>
    <col min="12555" max="12555" width="9.625" style="63" customWidth="1"/>
    <col min="12556" max="12556" width="8.375" style="63" customWidth="1"/>
    <col min="12557" max="12557" width="13.375" style="63" customWidth="1"/>
    <col min="12558" max="12626" width="10.875" style="63"/>
    <col min="12627" max="12678" width="13.375" style="63" customWidth="1"/>
    <col min="12679" max="12800" width="10.875" style="63"/>
    <col min="12801" max="12801" width="13.375" style="63" customWidth="1"/>
    <col min="12802" max="12802" width="9.625" style="63" customWidth="1"/>
    <col min="12803" max="12803" width="14.625" style="63" customWidth="1"/>
    <col min="12804" max="12804" width="10.875" style="63"/>
    <col min="12805" max="12805" width="12.125" style="63" customWidth="1"/>
    <col min="12806" max="12806" width="10.875" style="63"/>
    <col min="12807" max="12807" width="8.375" style="63" customWidth="1"/>
    <col min="12808" max="12808" width="13.375" style="63" customWidth="1"/>
    <col min="12809" max="12809" width="10.875" style="63"/>
    <col min="12810" max="12810" width="12.125" style="63" customWidth="1"/>
    <col min="12811" max="12811" width="9.625" style="63" customWidth="1"/>
    <col min="12812" max="12812" width="8.375" style="63" customWidth="1"/>
    <col min="12813" max="12813" width="13.375" style="63" customWidth="1"/>
    <col min="12814" max="12882" width="10.875" style="63"/>
    <col min="12883" max="12934" width="13.375" style="63" customWidth="1"/>
    <col min="12935" max="13056" width="10.875" style="63"/>
    <col min="13057" max="13057" width="13.375" style="63" customWidth="1"/>
    <col min="13058" max="13058" width="9.625" style="63" customWidth="1"/>
    <col min="13059" max="13059" width="14.625" style="63" customWidth="1"/>
    <col min="13060" max="13060" width="10.875" style="63"/>
    <col min="13061" max="13061" width="12.125" style="63" customWidth="1"/>
    <col min="13062" max="13062" width="10.875" style="63"/>
    <col min="13063" max="13063" width="8.375" style="63" customWidth="1"/>
    <col min="13064" max="13064" width="13.375" style="63" customWidth="1"/>
    <col min="13065" max="13065" width="10.875" style="63"/>
    <col min="13066" max="13066" width="12.125" style="63" customWidth="1"/>
    <col min="13067" max="13067" width="9.625" style="63" customWidth="1"/>
    <col min="13068" max="13068" width="8.375" style="63" customWidth="1"/>
    <col min="13069" max="13069" width="13.375" style="63" customWidth="1"/>
    <col min="13070" max="13138" width="10.875" style="63"/>
    <col min="13139" max="13190" width="13.375" style="63" customWidth="1"/>
    <col min="13191" max="13312" width="10.875" style="63"/>
    <col min="13313" max="13313" width="13.375" style="63" customWidth="1"/>
    <col min="13314" max="13314" width="9.625" style="63" customWidth="1"/>
    <col min="13315" max="13315" width="14.625" style="63" customWidth="1"/>
    <col min="13316" max="13316" width="10.875" style="63"/>
    <col min="13317" max="13317" width="12.125" style="63" customWidth="1"/>
    <col min="13318" max="13318" width="10.875" style="63"/>
    <col min="13319" max="13319" width="8.375" style="63" customWidth="1"/>
    <col min="13320" max="13320" width="13.375" style="63" customWidth="1"/>
    <col min="13321" max="13321" width="10.875" style="63"/>
    <col min="13322" max="13322" width="12.125" style="63" customWidth="1"/>
    <col min="13323" max="13323" width="9.625" style="63" customWidth="1"/>
    <col min="13324" max="13324" width="8.375" style="63" customWidth="1"/>
    <col min="13325" max="13325" width="13.375" style="63" customWidth="1"/>
    <col min="13326" max="13394" width="10.875" style="63"/>
    <col min="13395" max="13446" width="13.375" style="63" customWidth="1"/>
    <col min="13447" max="13568" width="10.875" style="63"/>
    <col min="13569" max="13569" width="13.375" style="63" customWidth="1"/>
    <col min="13570" max="13570" width="9.625" style="63" customWidth="1"/>
    <col min="13571" max="13571" width="14.625" style="63" customWidth="1"/>
    <col min="13572" max="13572" width="10.875" style="63"/>
    <col min="13573" max="13573" width="12.125" style="63" customWidth="1"/>
    <col min="13574" max="13574" width="10.875" style="63"/>
    <col min="13575" max="13575" width="8.375" style="63" customWidth="1"/>
    <col min="13576" max="13576" width="13.375" style="63" customWidth="1"/>
    <col min="13577" max="13577" width="10.875" style="63"/>
    <col min="13578" max="13578" width="12.125" style="63" customWidth="1"/>
    <col min="13579" max="13579" width="9.625" style="63" customWidth="1"/>
    <col min="13580" max="13580" width="8.375" style="63" customWidth="1"/>
    <col min="13581" max="13581" width="13.375" style="63" customWidth="1"/>
    <col min="13582" max="13650" width="10.875" style="63"/>
    <col min="13651" max="13702" width="13.375" style="63" customWidth="1"/>
    <col min="13703" max="13824" width="10.875" style="63"/>
    <col min="13825" max="13825" width="13.375" style="63" customWidth="1"/>
    <col min="13826" max="13826" width="9.625" style="63" customWidth="1"/>
    <col min="13827" max="13827" width="14.625" style="63" customWidth="1"/>
    <col min="13828" max="13828" width="10.875" style="63"/>
    <col min="13829" max="13829" width="12.125" style="63" customWidth="1"/>
    <col min="13830" max="13830" width="10.875" style="63"/>
    <col min="13831" max="13831" width="8.375" style="63" customWidth="1"/>
    <col min="13832" max="13832" width="13.375" style="63" customWidth="1"/>
    <col min="13833" max="13833" width="10.875" style="63"/>
    <col min="13834" max="13834" width="12.125" style="63" customWidth="1"/>
    <col min="13835" max="13835" width="9.625" style="63" customWidth="1"/>
    <col min="13836" max="13836" width="8.375" style="63" customWidth="1"/>
    <col min="13837" max="13837" width="13.375" style="63" customWidth="1"/>
    <col min="13838" max="13906" width="10.875" style="63"/>
    <col min="13907" max="13958" width="13.375" style="63" customWidth="1"/>
    <col min="13959" max="14080" width="10.875" style="63"/>
    <col min="14081" max="14081" width="13.375" style="63" customWidth="1"/>
    <col min="14082" max="14082" width="9.625" style="63" customWidth="1"/>
    <col min="14083" max="14083" width="14.625" style="63" customWidth="1"/>
    <col min="14084" max="14084" width="10.875" style="63"/>
    <col min="14085" max="14085" width="12.125" style="63" customWidth="1"/>
    <col min="14086" max="14086" width="10.875" style="63"/>
    <col min="14087" max="14087" width="8.375" style="63" customWidth="1"/>
    <col min="14088" max="14088" width="13.375" style="63" customWidth="1"/>
    <col min="14089" max="14089" width="10.875" style="63"/>
    <col min="14090" max="14090" width="12.125" style="63" customWidth="1"/>
    <col min="14091" max="14091" width="9.625" style="63" customWidth="1"/>
    <col min="14092" max="14092" width="8.375" style="63" customWidth="1"/>
    <col min="14093" max="14093" width="13.375" style="63" customWidth="1"/>
    <col min="14094" max="14162" width="10.875" style="63"/>
    <col min="14163" max="14214" width="13.375" style="63" customWidth="1"/>
    <col min="14215" max="14336" width="10.875" style="63"/>
    <col min="14337" max="14337" width="13.375" style="63" customWidth="1"/>
    <col min="14338" max="14338" width="9.625" style="63" customWidth="1"/>
    <col min="14339" max="14339" width="14.625" style="63" customWidth="1"/>
    <col min="14340" max="14340" width="10.875" style="63"/>
    <col min="14341" max="14341" width="12.125" style="63" customWidth="1"/>
    <col min="14342" max="14342" width="10.875" style="63"/>
    <col min="14343" max="14343" width="8.375" style="63" customWidth="1"/>
    <col min="14344" max="14344" width="13.375" style="63" customWidth="1"/>
    <col min="14345" max="14345" width="10.875" style="63"/>
    <col min="14346" max="14346" width="12.125" style="63" customWidth="1"/>
    <col min="14347" max="14347" width="9.625" style="63" customWidth="1"/>
    <col min="14348" max="14348" width="8.375" style="63" customWidth="1"/>
    <col min="14349" max="14349" width="13.375" style="63" customWidth="1"/>
    <col min="14350" max="14418" width="10.875" style="63"/>
    <col min="14419" max="14470" width="13.375" style="63" customWidth="1"/>
    <col min="14471" max="14592" width="10.875" style="63"/>
    <col min="14593" max="14593" width="13.375" style="63" customWidth="1"/>
    <col min="14594" max="14594" width="9.625" style="63" customWidth="1"/>
    <col min="14595" max="14595" width="14.625" style="63" customWidth="1"/>
    <col min="14596" max="14596" width="10.875" style="63"/>
    <col min="14597" max="14597" width="12.125" style="63" customWidth="1"/>
    <col min="14598" max="14598" width="10.875" style="63"/>
    <col min="14599" max="14599" width="8.375" style="63" customWidth="1"/>
    <col min="14600" max="14600" width="13.375" style="63" customWidth="1"/>
    <col min="14601" max="14601" width="10.875" style="63"/>
    <col min="14602" max="14602" width="12.125" style="63" customWidth="1"/>
    <col min="14603" max="14603" width="9.625" style="63" customWidth="1"/>
    <col min="14604" max="14604" width="8.375" style="63" customWidth="1"/>
    <col min="14605" max="14605" width="13.375" style="63" customWidth="1"/>
    <col min="14606" max="14674" width="10.875" style="63"/>
    <col min="14675" max="14726" width="13.375" style="63" customWidth="1"/>
    <col min="14727" max="14848" width="10.875" style="63"/>
    <col min="14849" max="14849" width="13.375" style="63" customWidth="1"/>
    <col min="14850" max="14850" width="9.625" style="63" customWidth="1"/>
    <col min="14851" max="14851" width="14.625" style="63" customWidth="1"/>
    <col min="14852" max="14852" width="10.875" style="63"/>
    <col min="14853" max="14853" width="12.125" style="63" customWidth="1"/>
    <col min="14854" max="14854" width="10.875" style="63"/>
    <col min="14855" max="14855" width="8.375" style="63" customWidth="1"/>
    <col min="14856" max="14856" width="13.375" style="63" customWidth="1"/>
    <col min="14857" max="14857" width="10.875" style="63"/>
    <col min="14858" max="14858" width="12.125" style="63" customWidth="1"/>
    <col min="14859" max="14859" width="9.625" style="63" customWidth="1"/>
    <col min="14860" max="14860" width="8.375" style="63" customWidth="1"/>
    <col min="14861" max="14861" width="13.375" style="63" customWidth="1"/>
    <col min="14862" max="14930" width="10.875" style="63"/>
    <col min="14931" max="14982" width="13.375" style="63" customWidth="1"/>
    <col min="14983" max="15104" width="10.875" style="63"/>
    <col min="15105" max="15105" width="13.375" style="63" customWidth="1"/>
    <col min="15106" max="15106" width="9.625" style="63" customWidth="1"/>
    <col min="15107" max="15107" width="14.625" style="63" customWidth="1"/>
    <col min="15108" max="15108" width="10.875" style="63"/>
    <col min="15109" max="15109" width="12.125" style="63" customWidth="1"/>
    <col min="15110" max="15110" width="10.875" style="63"/>
    <col min="15111" max="15111" width="8.375" style="63" customWidth="1"/>
    <col min="15112" max="15112" width="13.375" style="63" customWidth="1"/>
    <col min="15113" max="15113" width="10.875" style="63"/>
    <col min="15114" max="15114" width="12.125" style="63" customWidth="1"/>
    <col min="15115" max="15115" width="9.625" style="63" customWidth="1"/>
    <col min="15116" max="15116" width="8.375" style="63" customWidth="1"/>
    <col min="15117" max="15117" width="13.375" style="63" customWidth="1"/>
    <col min="15118" max="15186" width="10.875" style="63"/>
    <col min="15187" max="15238" width="13.375" style="63" customWidth="1"/>
    <col min="15239" max="15360" width="10.875" style="63"/>
    <col min="15361" max="15361" width="13.375" style="63" customWidth="1"/>
    <col min="15362" max="15362" width="9.625" style="63" customWidth="1"/>
    <col min="15363" max="15363" width="14.625" style="63" customWidth="1"/>
    <col min="15364" max="15364" width="10.875" style="63"/>
    <col min="15365" max="15365" width="12.125" style="63" customWidth="1"/>
    <col min="15366" max="15366" width="10.875" style="63"/>
    <col min="15367" max="15367" width="8.375" style="63" customWidth="1"/>
    <col min="15368" max="15368" width="13.375" style="63" customWidth="1"/>
    <col min="15369" max="15369" width="10.875" style="63"/>
    <col min="15370" max="15370" width="12.125" style="63" customWidth="1"/>
    <col min="15371" max="15371" width="9.625" style="63" customWidth="1"/>
    <col min="15372" max="15372" width="8.375" style="63" customWidth="1"/>
    <col min="15373" max="15373" width="13.375" style="63" customWidth="1"/>
    <col min="15374" max="15442" width="10.875" style="63"/>
    <col min="15443" max="15494" width="13.375" style="63" customWidth="1"/>
    <col min="15495" max="15616" width="10.875" style="63"/>
    <col min="15617" max="15617" width="13.375" style="63" customWidth="1"/>
    <col min="15618" max="15618" width="9.625" style="63" customWidth="1"/>
    <col min="15619" max="15619" width="14.625" style="63" customWidth="1"/>
    <col min="15620" max="15620" width="10.875" style="63"/>
    <col min="15621" max="15621" width="12.125" style="63" customWidth="1"/>
    <col min="15622" max="15622" width="10.875" style="63"/>
    <col min="15623" max="15623" width="8.375" style="63" customWidth="1"/>
    <col min="15624" max="15624" width="13.375" style="63" customWidth="1"/>
    <col min="15625" max="15625" width="10.875" style="63"/>
    <col min="15626" max="15626" width="12.125" style="63" customWidth="1"/>
    <col min="15627" max="15627" width="9.625" style="63" customWidth="1"/>
    <col min="15628" max="15628" width="8.375" style="63" customWidth="1"/>
    <col min="15629" max="15629" width="13.375" style="63" customWidth="1"/>
    <col min="15630" max="15698" width="10.875" style="63"/>
    <col min="15699" max="15750" width="13.375" style="63" customWidth="1"/>
    <col min="15751" max="15872" width="10.875" style="63"/>
    <col min="15873" max="15873" width="13.375" style="63" customWidth="1"/>
    <col min="15874" max="15874" width="9.625" style="63" customWidth="1"/>
    <col min="15875" max="15875" width="14.625" style="63" customWidth="1"/>
    <col min="15876" max="15876" width="10.875" style="63"/>
    <col min="15877" max="15877" width="12.125" style="63" customWidth="1"/>
    <col min="15878" max="15878" width="10.875" style="63"/>
    <col min="15879" max="15879" width="8.375" style="63" customWidth="1"/>
    <col min="15880" max="15880" width="13.375" style="63" customWidth="1"/>
    <col min="15881" max="15881" width="10.875" style="63"/>
    <col min="15882" max="15882" width="12.125" style="63" customWidth="1"/>
    <col min="15883" max="15883" width="9.625" style="63" customWidth="1"/>
    <col min="15884" max="15884" width="8.375" style="63" customWidth="1"/>
    <col min="15885" max="15885" width="13.375" style="63" customWidth="1"/>
    <col min="15886" max="15954" width="10.875" style="63"/>
    <col min="15955" max="16006" width="13.375" style="63" customWidth="1"/>
    <col min="16007" max="16128" width="10.875" style="63"/>
    <col min="16129" max="16129" width="13.375" style="63" customWidth="1"/>
    <col min="16130" max="16130" width="9.625" style="63" customWidth="1"/>
    <col min="16131" max="16131" width="14.625" style="63" customWidth="1"/>
    <col min="16132" max="16132" width="10.875" style="63"/>
    <col min="16133" max="16133" width="12.125" style="63" customWidth="1"/>
    <col min="16134" max="16134" width="10.875" style="63"/>
    <col min="16135" max="16135" width="8.375" style="63" customWidth="1"/>
    <col min="16136" max="16136" width="13.375" style="63" customWidth="1"/>
    <col min="16137" max="16137" width="10.875" style="63"/>
    <col min="16138" max="16138" width="12.125" style="63" customWidth="1"/>
    <col min="16139" max="16139" width="9.625" style="63" customWidth="1"/>
    <col min="16140" max="16140" width="8.375" style="63" customWidth="1"/>
    <col min="16141" max="16141" width="13.375" style="63" customWidth="1"/>
    <col min="16142" max="16210" width="10.875" style="63"/>
    <col min="16211" max="16262" width="13.375" style="63" customWidth="1"/>
    <col min="16263" max="16384" width="10.875" style="63"/>
  </cols>
  <sheetData>
    <row r="1" spans="1:13" x14ac:dyDescent="0.2">
      <c r="A1" s="62"/>
    </row>
    <row r="6" spans="1:13" x14ac:dyDescent="0.2">
      <c r="E6" s="64" t="s">
        <v>524</v>
      </c>
    </row>
    <row r="7" spans="1:13" x14ac:dyDescent="0.2">
      <c r="D7" s="64" t="s">
        <v>525</v>
      </c>
    </row>
    <row r="8" spans="1:13" ht="18" thickBot="1" x14ac:dyDescent="0.25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81" t="s">
        <v>526</v>
      </c>
    </row>
    <row r="9" spans="1:13" x14ac:dyDescent="0.2">
      <c r="D9" s="66"/>
      <c r="E9" s="69"/>
      <c r="F9" s="69"/>
      <c r="G9" s="69"/>
      <c r="H9" s="69"/>
      <c r="I9" s="69"/>
      <c r="J9" s="69"/>
      <c r="K9" s="69"/>
      <c r="L9" s="69"/>
      <c r="M9" s="69"/>
    </row>
    <row r="10" spans="1:13" x14ac:dyDescent="0.2">
      <c r="D10" s="70" t="s">
        <v>527</v>
      </c>
      <c r="E10" s="66"/>
      <c r="F10" s="69"/>
      <c r="G10" s="69"/>
      <c r="H10" s="69"/>
      <c r="I10" s="69"/>
      <c r="J10" s="69"/>
      <c r="K10" s="69"/>
      <c r="L10" s="69"/>
      <c r="M10" s="66"/>
    </row>
    <row r="11" spans="1:13" x14ac:dyDescent="0.2">
      <c r="D11" s="70" t="s">
        <v>528</v>
      </c>
      <c r="E11" s="70" t="s">
        <v>529</v>
      </c>
      <c r="F11" s="70" t="s">
        <v>530</v>
      </c>
      <c r="G11" s="70" t="s">
        <v>531</v>
      </c>
      <c r="H11" s="70" t="s">
        <v>532</v>
      </c>
      <c r="I11" s="66"/>
      <c r="J11" s="66"/>
      <c r="K11" s="70" t="s">
        <v>533</v>
      </c>
      <c r="L11" s="66"/>
      <c r="M11" s="82" t="s">
        <v>154</v>
      </c>
    </row>
    <row r="12" spans="1:13" x14ac:dyDescent="0.2">
      <c r="B12" s="69"/>
      <c r="C12" s="69"/>
      <c r="D12" s="67"/>
      <c r="E12" s="71" t="s">
        <v>534</v>
      </c>
      <c r="F12" s="71" t="s">
        <v>535</v>
      </c>
      <c r="G12" s="71" t="s">
        <v>536</v>
      </c>
      <c r="H12" s="71" t="s">
        <v>537</v>
      </c>
      <c r="I12" s="71" t="s">
        <v>538</v>
      </c>
      <c r="J12" s="71" t="s">
        <v>539</v>
      </c>
      <c r="K12" s="71" t="s">
        <v>540</v>
      </c>
      <c r="L12" s="71" t="s">
        <v>541</v>
      </c>
      <c r="M12" s="83" t="s">
        <v>542</v>
      </c>
    </row>
    <row r="13" spans="1:13" x14ac:dyDescent="0.2">
      <c r="D13" s="66"/>
    </row>
    <row r="14" spans="1:13" x14ac:dyDescent="0.2">
      <c r="B14" s="62" t="s">
        <v>543</v>
      </c>
      <c r="D14" s="84">
        <f>E14+M14</f>
        <v>511</v>
      </c>
      <c r="E14" s="78">
        <f>SUM(F14:L14)</f>
        <v>481</v>
      </c>
      <c r="F14" s="76">
        <v>131</v>
      </c>
      <c r="G14" s="76">
        <v>91</v>
      </c>
      <c r="H14" s="76">
        <v>7</v>
      </c>
      <c r="I14" s="76">
        <v>133</v>
      </c>
      <c r="J14" s="76">
        <v>24</v>
      </c>
      <c r="K14" s="77" t="s">
        <v>139</v>
      </c>
      <c r="L14" s="76">
        <v>95</v>
      </c>
      <c r="M14" s="76">
        <v>30</v>
      </c>
    </row>
    <row r="15" spans="1:13" x14ac:dyDescent="0.2">
      <c r="B15" s="62" t="s">
        <v>544</v>
      </c>
      <c r="D15" s="84">
        <f>E15+M15</f>
        <v>547</v>
      </c>
      <c r="E15" s="78">
        <f>SUM(F15:L15)</f>
        <v>361</v>
      </c>
      <c r="F15" s="76">
        <v>91</v>
      </c>
      <c r="G15" s="76">
        <v>64</v>
      </c>
      <c r="H15" s="76">
        <v>1</v>
      </c>
      <c r="I15" s="76">
        <v>124</v>
      </c>
      <c r="J15" s="76">
        <v>14</v>
      </c>
      <c r="K15" s="77" t="s">
        <v>545</v>
      </c>
      <c r="L15" s="76">
        <v>67</v>
      </c>
      <c r="M15" s="76">
        <v>186</v>
      </c>
    </row>
    <row r="16" spans="1:13" x14ac:dyDescent="0.2">
      <c r="A16" s="85"/>
      <c r="B16" s="62" t="s">
        <v>546</v>
      </c>
      <c r="D16" s="84">
        <f>E16+M16</f>
        <v>484</v>
      </c>
      <c r="E16" s="78">
        <f>SUM(F16:L16)</f>
        <v>384</v>
      </c>
      <c r="F16" s="76">
        <v>79</v>
      </c>
      <c r="G16" s="76">
        <v>90</v>
      </c>
      <c r="H16" s="76">
        <v>1</v>
      </c>
      <c r="I16" s="76">
        <v>129</v>
      </c>
      <c r="J16" s="76">
        <v>14</v>
      </c>
      <c r="K16" s="77" t="s">
        <v>545</v>
      </c>
      <c r="L16" s="76">
        <v>71</v>
      </c>
      <c r="M16" s="76">
        <v>100</v>
      </c>
    </row>
    <row r="17" spans="1:13" x14ac:dyDescent="0.2">
      <c r="B17" s="62" t="s">
        <v>547</v>
      </c>
      <c r="D17" s="84">
        <f>E17+M17</f>
        <v>605</v>
      </c>
      <c r="E17" s="78">
        <f>SUM(F17:L17)</f>
        <v>369</v>
      </c>
      <c r="F17" s="76">
        <v>94</v>
      </c>
      <c r="G17" s="76">
        <v>78</v>
      </c>
      <c r="H17" s="76">
        <v>1</v>
      </c>
      <c r="I17" s="76">
        <v>103</v>
      </c>
      <c r="J17" s="76">
        <v>10</v>
      </c>
      <c r="K17" s="77" t="s">
        <v>141</v>
      </c>
      <c r="L17" s="76">
        <v>83</v>
      </c>
      <c r="M17" s="76">
        <v>236</v>
      </c>
    </row>
    <row r="18" spans="1:13" x14ac:dyDescent="0.2">
      <c r="D18" s="84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2">
      <c r="B19" s="62" t="s">
        <v>548</v>
      </c>
      <c r="D19" s="84">
        <f>E19+M19</f>
        <v>488</v>
      </c>
      <c r="E19" s="78">
        <f>SUM(F19:L19)</f>
        <v>358</v>
      </c>
      <c r="F19" s="76">
        <v>95</v>
      </c>
      <c r="G19" s="76">
        <v>61</v>
      </c>
      <c r="H19" s="76">
        <v>3</v>
      </c>
      <c r="I19" s="76">
        <v>92</v>
      </c>
      <c r="J19" s="76">
        <v>10</v>
      </c>
      <c r="K19" s="77" t="s">
        <v>52</v>
      </c>
      <c r="L19" s="76">
        <v>97</v>
      </c>
      <c r="M19" s="76">
        <v>130</v>
      </c>
    </row>
    <row r="20" spans="1:13" x14ac:dyDescent="0.2">
      <c r="B20" s="62" t="s">
        <v>549</v>
      </c>
      <c r="D20" s="84">
        <f>E20+M20</f>
        <v>428</v>
      </c>
      <c r="E20" s="78">
        <f>SUM(F20:L20)</f>
        <v>307</v>
      </c>
      <c r="F20" s="76">
        <v>86</v>
      </c>
      <c r="G20" s="76">
        <v>53</v>
      </c>
      <c r="H20" s="76">
        <v>2</v>
      </c>
      <c r="I20" s="76">
        <v>80</v>
      </c>
      <c r="J20" s="76">
        <v>8</v>
      </c>
      <c r="K20" s="77" t="s">
        <v>52</v>
      </c>
      <c r="L20" s="76">
        <v>78</v>
      </c>
      <c r="M20" s="76">
        <v>121</v>
      </c>
    </row>
    <row r="21" spans="1:13" x14ac:dyDescent="0.2">
      <c r="B21" s="62" t="s">
        <v>550</v>
      </c>
      <c r="D21" s="84">
        <f>E21+M21</f>
        <v>437</v>
      </c>
      <c r="E21" s="78">
        <f>SUM(F21:L21)</f>
        <v>325</v>
      </c>
      <c r="F21" s="76">
        <v>79</v>
      </c>
      <c r="G21" s="76">
        <v>53</v>
      </c>
      <c r="H21" s="77" t="s">
        <v>52</v>
      </c>
      <c r="I21" s="76">
        <v>86</v>
      </c>
      <c r="J21" s="76">
        <v>8</v>
      </c>
      <c r="K21" s="77" t="s">
        <v>52</v>
      </c>
      <c r="L21" s="76">
        <v>99</v>
      </c>
      <c r="M21" s="76">
        <v>112</v>
      </c>
    </row>
    <row r="22" spans="1:13" x14ac:dyDescent="0.2">
      <c r="B22" s="62" t="s">
        <v>551</v>
      </c>
      <c r="D22" s="84">
        <f>E22+M22</f>
        <v>479</v>
      </c>
      <c r="E22" s="78">
        <f>SUM(F22:L22)</f>
        <v>355</v>
      </c>
      <c r="F22" s="76">
        <v>146</v>
      </c>
      <c r="G22" s="76">
        <v>63</v>
      </c>
      <c r="H22" s="77" t="s">
        <v>52</v>
      </c>
      <c r="I22" s="76">
        <v>62</v>
      </c>
      <c r="J22" s="76">
        <v>7</v>
      </c>
      <c r="K22" s="77" t="s">
        <v>52</v>
      </c>
      <c r="L22" s="76">
        <v>77</v>
      </c>
      <c r="M22" s="76">
        <v>124</v>
      </c>
    </row>
    <row r="23" spans="1:13" x14ac:dyDescent="0.2">
      <c r="B23" s="64" t="s">
        <v>552</v>
      </c>
      <c r="C23" s="85"/>
      <c r="D23" s="86">
        <f>E23+M23</f>
        <v>517</v>
      </c>
      <c r="E23" s="87">
        <f>SUM(F23:L23)</f>
        <v>422</v>
      </c>
      <c r="F23" s="88">
        <v>191</v>
      </c>
      <c r="G23" s="88">
        <v>73</v>
      </c>
      <c r="H23" s="89" t="s">
        <v>52</v>
      </c>
      <c r="I23" s="88">
        <v>82</v>
      </c>
      <c r="J23" s="88">
        <v>6</v>
      </c>
      <c r="K23" s="89" t="s">
        <v>52</v>
      </c>
      <c r="L23" s="88">
        <v>70</v>
      </c>
      <c r="M23" s="88">
        <v>95</v>
      </c>
    </row>
    <row r="24" spans="1:13" ht="18" thickBot="1" x14ac:dyDescent="0.25">
      <c r="B24" s="65"/>
      <c r="C24" s="65"/>
      <c r="D24" s="90"/>
      <c r="E24" s="80"/>
      <c r="F24" s="80"/>
      <c r="G24" s="80"/>
      <c r="H24" s="80"/>
      <c r="I24" s="80"/>
      <c r="J24" s="80"/>
      <c r="K24" s="80"/>
      <c r="L24" s="80"/>
      <c r="M24" s="80"/>
    </row>
    <row r="25" spans="1:13" x14ac:dyDescent="0.2">
      <c r="D25" s="62" t="s">
        <v>313</v>
      </c>
      <c r="H25" s="62" t="s">
        <v>553</v>
      </c>
    </row>
    <row r="26" spans="1:13" x14ac:dyDescent="0.2">
      <c r="A26" s="62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2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7" width="12.125" style="2" customWidth="1"/>
    <col min="8" max="9" width="10.875" style="2"/>
    <col min="10" max="10" width="9.625" style="2" customWidth="1"/>
    <col min="11" max="82" width="10.875" style="2"/>
    <col min="83" max="134" width="13.375" style="2" customWidth="1"/>
    <col min="135" max="256" width="10.875" style="2"/>
    <col min="257" max="257" width="13.375" style="2" customWidth="1"/>
    <col min="258" max="258" width="3.375" style="2" customWidth="1"/>
    <col min="259" max="259" width="18.375" style="2" customWidth="1"/>
    <col min="260" max="263" width="12.125" style="2" customWidth="1"/>
    <col min="264" max="265" width="10.875" style="2"/>
    <col min="266" max="266" width="9.625" style="2" customWidth="1"/>
    <col min="267" max="338" width="10.875" style="2"/>
    <col min="339" max="390" width="13.375" style="2" customWidth="1"/>
    <col min="391" max="512" width="10.875" style="2"/>
    <col min="513" max="513" width="13.375" style="2" customWidth="1"/>
    <col min="514" max="514" width="3.375" style="2" customWidth="1"/>
    <col min="515" max="515" width="18.375" style="2" customWidth="1"/>
    <col min="516" max="519" width="12.125" style="2" customWidth="1"/>
    <col min="520" max="521" width="10.875" style="2"/>
    <col min="522" max="522" width="9.625" style="2" customWidth="1"/>
    <col min="523" max="594" width="10.875" style="2"/>
    <col min="595" max="646" width="13.375" style="2" customWidth="1"/>
    <col min="647" max="768" width="10.875" style="2"/>
    <col min="769" max="769" width="13.375" style="2" customWidth="1"/>
    <col min="770" max="770" width="3.375" style="2" customWidth="1"/>
    <col min="771" max="771" width="18.375" style="2" customWidth="1"/>
    <col min="772" max="775" width="12.125" style="2" customWidth="1"/>
    <col min="776" max="777" width="10.875" style="2"/>
    <col min="778" max="778" width="9.625" style="2" customWidth="1"/>
    <col min="779" max="850" width="10.875" style="2"/>
    <col min="851" max="902" width="13.375" style="2" customWidth="1"/>
    <col min="903" max="1024" width="10.875" style="2"/>
    <col min="1025" max="1025" width="13.375" style="2" customWidth="1"/>
    <col min="1026" max="1026" width="3.375" style="2" customWidth="1"/>
    <col min="1027" max="1027" width="18.375" style="2" customWidth="1"/>
    <col min="1028" max="1031" width="12.125" style="2" customWidth="1"/>
    <col min="1032" max="1033" width="10.875" style="2"/>
    <col min="1034" max="1034" width="9.625" style="2" customWidth="1"/>
    <col min="1035" max="1106" width="10.875" style="2"/>
    <col min="1107" max="1158" width="13.375" style="2" customWidth="1"/>
    <col min="1159" max="1280" width="10.875" style="2"/>
    <col min="1281" max="1281" width="13.375" style="2" customWidth="1"/>
    <col min="1282" max="1282" width="3.375" style="2" customWidth="1"/>
    <col min="1283" max="1283" width="18.375" style="2" customWidth="1"/>
    <col min="1284" max="1287" width="12.125" style="2" customWidth="1"/>
    <col min="1288" max="1289" width="10.875" style="2"/>
    <col min="1290" max="1290" width="9.625" style="2" customWidth="1"/>
    <col min="1291" max="1362" width="10.875" style="2"/>
    <col min="1363" max="1414" width="13.375" style="2" customWidth="1"/>
    <col min="1415" max="1536" width="10.875" style="2"/>
    <col min="1537" max="1537" width="13.375" style="2" customWidth="1"/>
    <col min="1538" max="1538" width="3.375" style="2" customWidth="1"/>
    <col min="1539" max="1539" width="18.375" style="2" customWidth="1"/>
    <col min="1540" max="1543" width="12.125" style="2" customWidth="1"/>
    <col min="1544" max="1545" width="10.875" style="2"/>
    <col min="1546" max="1546" width="9.625" style="2" customWidth="1"/>
    <col min="1547" max="1618" width="10.875" style="2"/>
    <col min="1619" max="1670" width="13.375" style="2" customWidth="1"/>
    <col min="1671" max="1792" width="10.875" style="2"/>
    <col min="1793" max="1793" width="13.375" style="2" customWidth="1"/>
    <col min="1794" max="1794" width="3.375" style="2" customWidth="1"/>
    <col min="1795" max="1795" width="18.375" style="2" customWidth="1"/>
    <col min="1796" max="1799" width="12.125" style="2" customWidth="1"/>
    <col min="1800" max="1801" width="10.875" style="2"/>
    <col min="1802" max="1802" width="9.625" style="2" customWidth="1"/>
    <col min="1803" max="1874" width="10.875" style="2"/>
    <col min="1875" max="1926" width="13.375" style="2" customWidth="1"/>
    <col min="1927" max="2048" width="10.875" style="2"/>
    <col min="2049" max="2049" width="13.375" style="2" customWidth="1"/>
    <col min="2050" max="2050" width="3.375" style="2" customWidth="1"/>
    <col min="2051" max="2051" width="18.375" style="2" customWidth="1"/>
    <col min="2052" max="2055" width="12.125" style="2" customWidth="1"/>
    <col min="2056" max="2057" width="10.875" style="2"/>
    <col min="2058" max="2058" width="9.625" style="2" customWidth="1"/>
    <col min="2059" max="2130" width="10.875" style="2"/>
    <col min="2131" max="2182" width="13.375" style="2" customWidth="1"/>
    <col min="2183" max="2304" width="10.875" style="2"/>
    <col min="2305" max="2305" width="13.375" style="2" customWidth="1"/>
    <col min="2306" max="2306" width="3.375" style="2" customWidth="1"/>
    <col min="2307" max="2307" width="18.375" style="2" customWidth="1"/>
    <col min="2308" max="2311" width="12.125" style="2" customWidth="1"/>
    <col min="2312" max="2313" width="10.875" style="2"/>
    <col min="2314" max="2314" width="9.625" style="2" customWidth="1"/>
    <col min="2315" max="2386" width="10.875" style="2"/>
    <col min="2387" max="2438" width="13.375" style="2" customWidth="1"/>
    <col min="2439" max="2560" width="10.875" style="2"/>
    <col min="2561" max="2561" width="13.375" style="2" customWidth="1"/>
    <col min="2562" max="2562" width="3.375" style="2" customWidth="1"/>
    <col min="2563" max="2563" width="18.375" style="2" customWidth="1"/>
    <col min="2564" max="2567" width="12.125" style="2" customWidth="1"/>
    <col min="2568" max="2569" width="10.875" style="2"/>
    <col min="2570" max="2570" width="9.625" style="2" customWidth="1"/>
    <col min="2571" max="2642" width="10.875" style="2"/>
    <col min="2643" max="2694" width="13.375" style="2" customWidth="1"/>
    <col min="2695" max="2816" width="10.875" style="2"/>
    <col min="2817" max="2817" width="13.375" style="2" customWidth="1"/>
    <col min="2818" max="2818" width="3.375" style="2" customWidth="1"/>
    <col min="2819" max="2819" width="18.375" style="2" customWidth="1"/>
    <col min="2820" max="2823" width="12.125" style="2" customWidth="1"/>
    <col min="2824" max="2825" width="10.875" style="2"/>
    <col min="2826" max="2826" width="9.625" style="2" customWidth="1"/>
    <col min="2827" max="2898" width="10.875" style="2"/>
    <col min="2899" max="2950" width="13.375" style="2" customWidth="1"/>
    <col min="2951" max="3072" width="10.875" style="2"/>
    <col min="3073" max="3073" width="13.375" style="2" customWidth="1"/>
    <col min="3074" max="3074" width="3.375" style="2" customWidth="1"/>
    <col min="3075" max="3075" width="18.375" style="2" customWidth="1"/>
    <col min="3076" max="3079" width="12.125" style="2" customWidth="1"/>
    <col min="3080" max="3081" width="10.875" style="2"/>
    <col min="3082" max="3082" width="9.625" style="2" customWidth="1"/>
    <col min="3083" max="3154" width="10.875" style="2"/>
    <col min="3155" max="3206" width="13.375" style="2" customWidth="1"/>
    <col min="3207" max="3328" width="10.875" style="2"/>
    <col min="3329" max="3329" width="13.375" style="2" customWidth="1"/>
    <col min="3330" max="3330" width="3.375" style="2" customWidth="1"/>
    <col min="3331" max="3331" width="18.375" style="2" customWidth="1"/>
    <col min="3332" max="3335" width="12.125" style="2" customWidth="1"/>
    <col min="3336" max="3337" width="10.875" style="2"/>
    <col min="3338" max="3338" width="9.625" style="2" customWidth="1"/>
    <col min="3339" max="3410" width="10.875" style="2"/>
    <col min="3411" max="3462" width="13.375" style="2" customWidth="1"/>
    <col min="3463" max="3584" width="10.875" style="2"/>
    <col min="3585" max="3585" width="13.375" style="2" customWidth="1"/>
    <col min="3586" max="3586" width="3.375" style="2" customWidth="1"/>
    <col min="3587" max="3587" width="18.375" style="2" customWidth="1"/>
    <col min="3588" max="3591" width="12.125" style="2" customWidth="1"/>
    <col min="3592" max="3593" width="10.875" style="2"/>
    <col min="3594" max="3594" width="9.625" style="2" customWidth="1"/>
    <col min="3595" max="3666" width="10.875" style="2"/>
    <col min="3667" max="3718" width="13.375" style="2" customWidth="1"/>
    <col min="3719" max="3840" width="10.875" style="2"/>
    <col min="3841" max="3841" width="13.375" style="2" customWidth="1"/>
    <col min="3842" max="3842" width="3.375" style="2" customWidth="1"/>
    <col min="3843" max="3843" width="18.375" style="2" customWidth="1"/>
    <col min="3844" max="3847" width="12.125" style="2" customWidth="1"/>
    <col min="3848" max="3849" width="10.875" style="2"/>
    <col min="3850" max="3850" width="9.625" style="2" customWidth="1"/>
    <col min="3851" max="3922" width="10.875" style="2"/>
    <col min="3923" max="3974" width="13.375" style="2" customWidth="1"/>
    <col min="3975" max="4096" width="10.875" style="2"/>
    <col min="4097" max="4097" width="13.375" style="2" customWidth="1"/>
    <col min="4098" max="4098" width="3.375" style="2" customWidth="1"/>
    <col min="4099" max="4099" width="18.375" style="2" customWidth="1"/>
    <col min="4100" max="4103" width="12.125" style="2" customWidth="1"/>
    <col min="4104" max="4105" width="10.875" style="2"/>
    <col min="4106" max="4106" width="9.625" style="2" customWidth="1"/>
    <col min="4107" max="4178" width="10.875" style="2"/>
    <col min="4179" max="4230" width="13.375" style="2" customWidth="1"/>
    <col min="4231" max="4352" width="10.875" style="2"/>
    <col min="4353" max="4353" width="13.375" style="2" customWidth="1"/>
    <col min="4354" max="4354" width="3.375" style="2" customWidth="1"/>
    <col min="4355" max="4355" width="18.375" style="2" customWidth="1"/>
    <col min="4356" max="4359" width="12.125" style="2" customWidth="1"/>
    <col min="4360" max="4361" width="10.875" style="2"/>
    <col min="4362" max="4362" width="9.625" style="2" customWidth="1"/>
    <col min="4363" max="4434" width="10.875" style="2"/>
    <col min="4435" max="4486" width="13.375" style="2" customWidth="1"/>
    <col min="4487" max="4608" width="10.875" style="2"/>
    <col min="4609" max="4609" width="13.375" style="2" customWidth="1"/>
    <col min="4610" max="4610" width="3.375" style="2" customWidth="1"/>
    <col min="4611" max="4611" width="18.375" style="2" customWidth="1"/>
    <col min="4612" max="4615" width="12.125" style="2" customWidth="1"/>
    <col min="4616" max="4617" width="10.875" style="2"/>
    <col min="4618" max="4618" width="9.625" style="2" customWidth="1"/>
    <col min="4619" max="4690" width="10.875" style="2"/>
    <col min="4691" max="4742" width="13.375" style="2" customWidth="1"/>
    <col min="4743" max="4864" width="10.875" style="2"/>
    <col min="4865" max="4865" width="13.375" style="2" customWidth="1"/>
    <col min="4866" max="4866" width="3.375" style="2" customWidth="1"/>
    <col min="4867" max="4867" width="18.375" style="2" customWidth="1"/>
    <col min="4868" max="4871" width="12.125" style="2" customWidth="1"/>
    <col min="4872" max="4873" width="10.875" style="2"/>
    <col min="4874" max="4874" width="9.625" style="2" customWidth="1"/>
    <col min="4875" max="4946" width="10.875" style="2"/>
    <col min="4947" max="4998" width="13.375" style="2" customWidth="1"/>
    <col min="4999" max="5120" width="10.875" style="2"/>
    <col min="5121" max="5121" width="13.375" style="2" customWidth="1"/>
    <col min="5122" max="5122" width="3.375" style="2" customWidth="1"/>
    <col min="5123" max="5123" width="18.375" style="2" customWidth="1"/>
    <col min="5124" max="5127" width="12.125" style="2" customWidth="1"/>
    <col min="5128" max="5129" width="10.875" style="2"/>
    <col min="5130" max="5130" width="9.625" style="2" customWidth="1"/>
    <col min="5131" max="5202" width="10.875" style="2"/>
    <col min="5203" max="5254" width="13.375" style="2" customWidth="1"/>
    <col min="5255" max="5376" width="10.875" style="2"/>
    <col min="5377" max="5377" width="13.375" style="2" customWidth="1"/>
    <col min="5378" max="5378" width="3.375" style="2" customWidth="1"/>
    <col min="5379" max="5379" width="18.375" style="2" customWidth="1"/>
    <col min="5380" max="5383" width="12.125" style="2" customWidth="1"/>
    <col min="5384" max="5385" width="10.875" style="2"/>
    <col min="5386" max="5386" width="9.625" style="2" customWidth="1"/>
    <col min="5387" max="5458" width="10.875" style="2"/>
    <col min="5459" max="5510" width="13.375" style="2" customWidth="1"/>
    <col min="5511" max="5632" width="10.875" style="2"/>
    <col min="5633" max="5633" width="13.375" style="2" customWidth="1"/>
    <col min="5634" max="5634" width="3.375" style="2" customWidth="1"/>
    <col min="5635" max="5635" width="18.375" style="2" customWidth="1"/>
    <col min="5636" max="5639" width="12.125" style="2" customWidth="1"/>
    <col min="5640" max="5641" width="10.875" style="2"/>
    <col min="5642" max="5642" width="9.625" style="2" customWidth="1"/>
    <col min="5643" max="5714" width="10.875" style="2"/>
    <col min="5715" max="5766" width="13.375" style="2" customWidth="1"/>
    <col min="5767" max="5888" width="10.875" style="2"/>
    <col min="5889" max="5889" width="13.375" style="2" customWidth="1"/>
    <col min="5890" max="5890" width="3.375" style="2" customWidth="1"/>
    <col min="5891" max="5891" width="18.375" style="2" customWidth="1"/>
    <col min="5892" max="5895" width="12.125" style="2" customWidth="1"/>
    <col min="5896" max="5897" width="10.875" style="2"/>
    <col min="5898" max="5898" width="9.625" style="2" customWidth="1"/>
    <col min="5899" max="5970" width="10.875" style="2"/>
    <col min="5971" max="6022" width="13.375" style="2" customWidth="1"/>
    <col min="6023" max="6144" width="10.875" style="2"/>
    <col min="6145" max="6145" width="13.375" style="2" customWidth="1"/>
    <col min="6146" max="6146" width="3.375" style="2" customWidth="1"/>
    <col min="6147" max="6147" width="18.375" style="2" customWidth="1"/>
    <col min="6148" max="6151" width="12.125" style="2" customWidth="1"/>
    <col min="6152" max="6153" width="10.875" style="2"/>
    <col min="6154" max="6154" width="9.625" style="2" customWidth="1"/>
    <col min="6155" max="6226" width="10.875" style="2"/>
    <col min="6227" max="6278" width="13.375" style="2" customWidth="1"/>
    <col min="6279" max="6400" width="10.875" style="2"/>
    <col min="6401" max="6401" width="13.375" style="2" customWidth="1"/>
    <col min="6402" max="6402" width="3.375" style="2" customWidth="1"/>
    <col min="6403" max="6403" width="18.375" style="2" customWidth="1"/>
    <col min="6404" max="6407" width="12.125" style="2" customWidth="1"/>
    <col min="6408" max="6409" width="10.875" style="2"/>
    <col min="6410" max="6410" width="9.625" style="2" customWidth="1"/>
    <col min="6411" max="6482" width="10.875" style="2"/>
    <col min="6483" max="6534" width="13.375" style="2" customWidth="1"/>
    <col min="6535" max="6656" width="10.875" style="2"/>
    <col min="6657" max="6657" width="13.375" style="2" customWidth="1"/>
    <col min="6658" max="6658" width="3.375" style="2" customWidth="1"/>
    <col min="6659" max="6659" width="18.375" style="2" customWidth="1"/>
    <col min="6660" max="6663" width="12.125" style="2" customWidth="1"/>
    <col min="6664" max="6665" width="10.875" style="2"/>
    <col min="6666" max="6666" width="9.625" style="2" customWidth="1"/>
    <col min="6667" max="6738" width="10.875" style="2"/>
    <col min="6739" max="6790" width="13.375" style="2" customWidth="1"/>
    <col min="6791" max="6912" width="10.875" style="2"/>
    <col min="6913" max="6913" width="13.375" style="2" customWidth="1"/>
    <col min="6914" max="6914" width="3.375" style="2" customWidth="1"/>
    <col min="6915" max="6915" width="18.375" style="2" customWidth="1"/>
    <col min="6916" max="6919" width="12.125" style="2" customWidth="1"/>
    <col min="6920" max="6921" width="10.875" style="2"/>
    <col min="6922" max="6922" width="9.625" style="2" customWidth="1"/>
    <col min="6923" max="6994" width="10.875" style="2"/>
    <col min="6995" max="7046" width="13.375" style="2" customWidth="1"/>
    <col min="7047" max="7168" width="10.875" style="2"/>
    <col min="7169" max="7169" width="13.375" style="2" customWidth="1"/>
    <col min="7170" max="7170" width="3.375" style="2" customWidth="1"/>
    <col min="7171" max="7171" width="18.375" style="2" customWidth="1"/>
    <col min="7172" max="7175" width="12.125" style="2" customWidth="1"/>
    <col min="7176" max="7177" width="10.875" style="2"/>
    <col min="7178" max="7178" width="9.625" style="2" customWidth="1"/>
    <col min="7179" max="7250" width="10.875" style="2"/>
    <col min="7251" max="7302" width="13.375" style="2" customWidth="1"/>
    <col min="7303" max="7424" width="10.875" style="2"/>
    <col min="7425" max="7425" width="13.375" style="2" customWidth="1"/>
    <col min="7426" max="7426" width="3.375" style="2" customWidth="1"/>
    <col min="7427" max="7427" width="18.375" style="2" customWidth="1"/>
    <col min="7428" max="7431" width="12.125" style="2" customWidth="1"/>
    <col min="7432" max="7433" width="10.875" style="2"/>
    <col min="7434" max="7434" width="9.625" style="2" customWidth="1"/>
    <col min="7435" max="7506" width="10.875" style="2"/>
    <col min="7507" max="7558" width="13.375" style="2" customWidth="1"/>
    <col min="7559" max="7680" width="10.875" style="2"/>
    <col min="7681" max="7681" width="13.375" style="2" customWidth="1"/>
    <col min="7682" max="7682" width="3.375" style="2" customWidth="1"/>
    <col min="7683" max="7683" width="18.375" style="2" customWidth="1"/>
    <col min="7684" max="7687" width="12.125" style="2" customWidth="1"/>
    <col min="7688" max="7689" width="10.875" style="2"/>
    <col min="7690" max="7690" width="9.625" style="2" customWidth="1"/>
    <col min="7691" max="7762" width="10.875" style="2"/>
    <col min="7763" max="7814" width="13.375" style="2" customWidth="1"/>
    <col min="7815" max="7936" width="10.875" style="2"/>
    <col min="7937" max="7937" width="13.375" style="2" customWidth="1"/>
    <col min="7938" max="7938" width="3.375" style="2" customWidth="1"/>
    <col min="7939" max="7939" width="18.375" style="2" customWidth="1"/>
    <col min="7940" max="7943" width="12.125" style="2" customWidth="1"/>
    <col min="7944" max="7945" width="10.875" style="2"/>
    <col min="7946" max="7946" width="9.625" style="2" customWidth="1"/>
    <col min="7947" max="8018" width="10.875" style="2"/>
    <col min="8019" max="8070" width="13.375" style="2" customWidth="1"/>
    <col min="8071" max="8192" width="10.875" style="2"/>
    <col min="8193" max="8193" width="13.375" style="2" customWidth="1"/>
    <col min="8194" max="8194" width="3.375" style="2" customWidth="1"/>
    <col min="8195" max="8195" width="18.375" style="2" customWidth="1"/>
    <col min="8196" max="8199" width="12.125" style="2" customWidth="1"/>
    <col min="8200" max="8201" width="10.875" style="2"/>
    <col min="8202" max="8202" width="9.625" style="2" customWidth="1"/>
    <col min="8203" max="8274" width="10.875" style="2"/>
    <col min="8275" max="8326" width="13.375" style="2" customWidth="1"/>
    <col min="8327" max="8448" width="10.875" style="2"/>
    <col min="8449" max="8449" width="13.375" style="2" customWidth="1"/>
    <col min="8450" max="8450" width="3.375" style="2" customWidth="1"/>
    <col min="8451" max="8451" width="18.375" style="2" customWidth="1"/>
    <col min="8452" max="8455" width="12.125" style="2" customWidth="1"/>
    <col min="8456" max="8457" width="10.875" style="2"/>
    <col min="8458" max="8458" width="9.625" style="2" customWidth="1"/>
    <col min="8459" max="8530" width="10.875" style="2"/>
    <col min="8531" max="8582" width="13.375" style="2" customWidth="1"/>
    <col min="8583" max="8704" width="10.875" style="2"/>
    <col min="8705" max="8705" width="13.375" style="2" customWidth="1"/>
    <col min="8706" max="8706" width="3.375" style="2" customWidth="1"/>
    <col min="8707" max="8707" width="18.375" style="2" customWidth="1"/>
    <col min="8708" max="8711" width="12.125" style="2" customWidth="1"/>
    <col min="8712" max="8713" width="10.875" style="2"/>
    <col min="8714" max="8714" width="9.625" style="2" customWidth="1"/>
    <col min="8715" max="8786" width="10.875" style="2"/>
    <col min="8787" max="8838" width="13.375" style="2" customWidth="1"/>
    <col min="8839" max="8960" width="10.875" style="2"/>
    <col min="8961" max="8961" width="13.375" style="2" customWidth="1"/>
    <col min="8962" max="8962" width="3.375" style="2" customWidth="1"/>
    <col min="8963" max="8963" width="18.375" style="2" customWidth="1"/>
    <col min="8964" max="8967" width="12.125" style="2" customWidth="1"/>
    <col min="8968" max="8969" width="10.875" style="2"/>
    <col min="8970" max="8970" width="9.625" style="2" customWidth="1"/>
    <col min="8971" max="9042" width="10.875" style="2"/>
    <col min="9043" max="9094" width="13.375" style="2" customWidth="1"/>
    <col min="9095" max="9216" width="10.875" style="2"/>
    <col min="9217" max="9217" width="13.375" style="2" customWidth="1"/>
    <col min="9218" max="9218" width="3.375" style="2" customWidth="1"/>
    <col min="9219" max="9219" width="18.375" style="2" customWidth="1"/>
    <col min="9220" max="9223" width="12.125" style="2" customWidth="1"/>
    <col min="9224" max="9225" width="10.875" style="2"/>
    <col min="9226" max="9226" width="9.625" style="2" customWidth="1"/>
    <col min="9227" max="9298" width="10.875" style="2"/>
    <col min="9299" max="9350" width="13.375" style="2" customWidth="1"/>
    <col min="9351" max="9472" width="10.875" style="2"/>
    <col min="9473" max="9473" width="13.375" style="2" customWidth="1"/>
    <col min="9474" max="9474" width="3.375" style="2" customWidth="1"/>
    <col min="9475" max="9475" width="18.375" style="2" customWidth="1"/>
    <col min="9476" max="9479" width="12.125" style="2" customWidth="1"/>
    <col min="9480" max="9481" width="10.875" style="2"/>
    <col min="9482" max="9482" width="9.625" style="2" customWidth="1"/>
    <col min="9483" max="9554" width="10.875" style="2"/>
    <col min="9555" max="9606" width="13.375" style="2" customWidth="1"/>
    <col min="9607" max="9728" width="10.875" style="2"/>
    <col min="9729" max="9729" width="13.375" style="2" customWidth="1"/>
    <col min="9730" max="9730" width="3.375" style="2" customWidth="1"/>
    <col min="9731" max="9731" width="18.375" style="2" customWidth="1"/>
    <col min="9732" max="9735" width="12.125" style="2" customWidth="1"/>
    <col min="9736" max="9737" width="10.875" style="2"/>
    <col min="9738" max="9738" width="9.625" style="2" customWidth="1"/>
    <col min="9739" max="9810" width="10.875" style="2"/>
    <col min="9811" max="9862" width="13.375" style="2" customWidth="1"/>
    <col min="9863" max="9984" width="10.875" style="2"/>
    <col min="9985" max="9985" width="13.375" style="2" customWidth="1"/>
    <col min="9986" max="9986" width="3.375" style="2" customWidth="1"/>
    <col min="9987" max="9987" width="18.375" style="2" customWidth="1"/>
    <col min="9988" max="9991" width="12.125" style="2" customWidth="1"/>
    <col min="9992" max="9993" width="10.875" style="2"/>
    <col min="9994" max="9994" width="9.625" style="2" customWidth="1"/>
    <col min="9995" max="10066" width="10.875" style="2"/>
    <col min="10067" max="10118" width="13.375" style="2" customWidth="1"/>
    <col min="10119" max="10240" width="10.875" style="2"/>
    <col min="10241" max="10241" width="13.375" style="2" customWidth="1"/>
    <col min="10242" max="10242" width="3.375" style="2" customWidth="1"/>
    <col min="10243" max="10243" width="18.375" style="2" customWidth="1"/>
    <col min="10244" max="10247" width="12.125" style="2" customWidth="1"/>
    <col min="10248" max="10249" width="10.875" style="2"/>
    <col min="10250" max="10250" width="9.625" style="2" customWidth="1"/>
    <col min="10251" max="10322" width="10.875" style="2"/>
    <col min="10323" max="10374" width="13.375" style="2" customWidth="1"/>
    <col min="10375" max="10496" width="10.875" style="2"/>
    <col min="10497" max="10497" width="13.375" style="2" customWidth="1"/>
    <col min="10498" max="10498" width="3.375" style="2" customWidth="1"/>
    <col min="10499" max="10499" width="18.375" style="2" customWidth="1"/>
    <col min="10500" max="10503" width="12.125" style="2" customWidth="1"/>
    <col min="10504" max="10505" width="10.875" style="2"/>
    <col min="10506" max="10506" width="9.625" style="2" customWidth="1"/>
    <col min="10507" max="10578" width="10.875" style="2"/>
    <col min="10579" max="10630" width="13.375" style="2" customWidth="1"/>
    <col min="10631" max="10752" width="10.875" style="2"/>
    <col min="10753" max="10753" width="13.375" style="2" customWidth="1"/>
    <col min="10754" max="10754" width="3.375" style="2" customWidth="1"/>
    <col min="10755" max="10755" width="18.375" style="2" customWidth="1"/>
    <col min="10756" max="10759" width="12.125" style="2" customWidth="1"/>
    <col min="10760" max="10761" width="10.875" style="2"/>
    <col min="10762" max="10762" width="9.625" style="2" customWidth="1"/>
    <col min="10763" max="10834" width="10.875" style="2"/>
    <col min="10835" max="10886" width="13.375" style="2" customWidth="1"/>
    <col min="10887" max="11008" width="10.875" style="2"/>
    <col min="11009" max="11009" width="13.375" style="2" customWidth="1"/>
    <col min="11010" max="11010" width="3.375" style="2" customWidth="1"/>
    <col min="11011" max="11011" width="18.375" style="2" customWidth="1"/>
    <col min="11012" max="11015" width="12.125" style="2" customWidth="1"/>
    <col min="11016" max="11017" width="10.875" style="2"/>
    <col min="11018" max="11018" width="9.625" style="2" customWidth="1"/>
    <col min="11019" max="11090" width="10.875" style="2"/>
    <col min="11091" max="11142" width="13.375" style="2" customWidth="1"/>
    <col min="11143" max="11264" width="10.875" style="2"/>
    <col min="11265" max="11265" width="13.375" style="2" customWidth="1"/>
    <col min="11266" max="11266" width="3.375" style="2" customWidth="1"/>
    <col min="11267" max="11267" width="18.375" style="2" customWidth="1"/>
    <col min="11268" max="11271" width="12.125" style="2" customWidth="1"/>
    <col min="11272" max="11273" width="10.875" style="2"/>
    <col min="11274" max="11274" width="9.625" style="2" customWidth="1"/>
    <col min="11275" max="11346" width="10.875" style="2"/>
    <col min="11347" max="11398" width="13.375" style="2" customWidth="1"/>
    <col min="11399" max="11520" width="10.875" style="2"/>
    <col min="11521" max="11521" width="13.375" style="2" customWidth="1"/>
    <col min="11522" max="11522" width="3.375" style="2" customWidth="1"/>
    <col min="11523" max="11523" width="18.375" style="2" customWidth="1"/>
    <col min="11524" max="11527" width="12.125" style="2" customWidth="1"/>
    <col min="11528" max="11529" width="10.875" style="2"/>
    <col min="11530" max="11530" width="9.625" style="2" customWidth="1"/>
    <col min="11531" max="11602" width="10.875" style="2"/>
    <col min="11603" max="11654" width="13.375" style="2" customWidth="1"/>
    <col min="11655" max="11776" width="10.875" style="2"/>
    <col min="11777" max="11777" width="13.375" style="2" customWidth="1"/>
    <col min="11778" max="11778" width="3.375" style="2" customWidth="1"/>
    <col min="11779" max="11779" width="18.375" style="2" customWidth="1"/>
    <col min="11780" max="11783" width="12.125" style="2" customWidth="1"/>
    <col min="11784" max="11785" width="10.875" style="2"/>
    <col min="11786" max="11786" width="9.625" style="2" customWidth="1"/>
    <col min="11787" max="11858" width="10.875" style="2"/>
    <col min="11859" max="11910" width="13.375" style="2" customWidth="1"/>
    <col min="11911" max="12032" width="10.875" style="2"/>
    <col min="12033" max="12033" width="13.375" style="2" customWidth="1"/>
    <col min="12034" max="12034" width="3.375" style="2" customWidth="1"/>
    <col min="12035" max="12035" width="18.375" style="2" customWidth="1"/>
    <col min="12036" max="12039" width="12.125" style="2" customWidth="1"/>
    <col min="12040" max="12041" width="10.875" style="2"/>
    <col min="12042" max="12042" width="9.625" style="2" customWidth="1"/>
    <col min="12043" max="12114" width="10.875" style="2"/>
    <col min="12115" max="12166" width="13.375" style="2" customWidth="1"/>
    <col min="12167" max="12288" width="10.875" style="2"/>
    <col min="12289" max="12289" width="13.375" style="2" customWidth="1"/>
    <col min="12290" max="12290" width="3.375" style="2" customWidth="1"/>
    <col min="12291" max="12291" width="18.375" style="2" customWidth="1"/>
    <col min="12292" max="12295" width="12.125" style="2" customWidth="1"/>
    <col min="12296" max="12297" width="10.875" style="2"/>
    <col min="12298" max="12298" width="9.625" style="2" customWidth="1"/>
    <col min="12299" max="12370" width="10.875" style="2"/>
    <col min="12371" max="12422" width="13.375" style="2" customWidth="1"/>
    <col min="12423" max="12544" width="10.875" style="2"/>
    <col min="12545" max="12545" width="13.375" style="2" customWidth="1"/>
    <col min="12546" max="12546" width="3.375" style="2" customWidth="1"/>
    <col min="12547" max="12547" width="18.375" style="2" customWidth="1"/>
    <col min="12548" max="12551" width="12.125" style="2" customWidth="1"/>
    <col min="12552" max="12553" width="10.875" style="2"/>
    <col min="12554" max="12554" width="9.625" style="2" customWidth="1"/>
    <col min="12555" max="12626" width="10.875" style="2"/>
    <col min="12627" max="12678" width="13.375" style="2" customWidth="1"/>
    <col min="12679" max="12800" width="10.875" style="2"/>
    <col min="12801" max="12801" width="13.375" style="2" customWidth="1"/>
    <col min="12802" max="12802" width="3.375" style="2" customWidth="1"/>
    <col min="12803" max="12803" width="18.375" style="2" customWidth="1"/>
    <col min="12804" max="12807" width="12.125" style="2" customWidth="1"/>
    <col min="12808" max="12809" width="10.875" style="2"/>
    <col min="12810" max="12810" width="9.625" style="2" customWidth="1"/>
    <col min="12811" max="12882" width="10.875" style="2"/>
    <col min="12883" max="12934" width="13.375" style="2" customWidth="1"/>
    <col min="12935" max="13056" width="10.875" style="2"/>
    <col min="13057" max="13057" width="13.375" style="2" customWidth="1"/>
    <col min="13058" max="13058" width="3.375" style="2" customWidth="1"/>
    <col min="13059" max="13059" width="18.375" style="2" customWidth="1"/>
    <col min="13060" max="13063" width="12.125" style="2" customWidth="1"/>
    <col min="13064" max="13065" width="10.875" style="2"/>
    <col min="13066" max="13066" width="9.625" style="2" customWidth="1"/>
    <col min="13067" max="13138" width="10.875" style="2"/>
    <col min="13139" max="13190" width="13.375" style="2" customWidth="1"/>
    <col min="13191" max="13312" width="10.875" style="2"/>
    <col min="13313" max="13313" width="13.375" style="2" customWidth="1"/>
    <col min="13314" max="13314" width="3.375" style="2" customWidth="1"/>
    <col min="13315" max="13315" width="18.375" style="2" customWidth="1"/>
    <col min="13316" max="13319" width="12.125" style="2" customWidth="1"/>
    <col min="13320" max="13321" width="10.875" style="2"/>
    <col min="13322" max="13322" width="9.625" style="2" customWidth="1"/>
    <col min="13323" max="13394" width="10.875" style="2"/>
    <col min="13395" max="13446" width="13.375" style="2" customWidth="1"/>
    <col min="13447" max="13568" width="10.875" style="2"/>
    <col min="13569" max="13569" width="13.375" style="2" customWidth="1"/>
    <col min="13570" max="13570" width="3.375" style="2" customWidth="1"/>
    <col min="13571" max="13571" width="18.375" style="2" customWidth="1"/>
    <col min="13572" max="13575" width="12.125" style="2" customWidth="1"/>
    <col min="13576" max="13577" width="10.875" style="2"/>
    <col min="13578" max="13578" width="9.625" style="2" customWidth="1"/>
    <col min="13579" max="13650" width="10.875" style="2"/>
    <col min="13651" max="13702" width="13.375" style="2" customWidth="1"/>
    <col min="13703" max="13824" width="10.875" style="2"/>
    <col min="13825" max="13825" width="13.375" style="2" customWidth="1"/>
    <col min="13826" max="13826" width="3.375" style="2" customWidth="1"/>
    <col min="13827" max="13827" width="18.375" style="2" customWidth="1"/>
    <col min="13828" max="13831" width="12.125" style="2" customWidth="1"/>
    <col min="13832" max="13833" width="10.875" style="2"/>
    <col min="13834" max="13834" width="9.625" style="2" customWidth="1"/>
    <col min="13835" max="13906" width="10.875" style="2"/>
    <col min="13907" max="13958" width="13.375" style="2" customWidth="1"/>
    <col min="13959" max="14080" width="10.875" style="2"/>
    <col min="14081" max="14081" width="13.375" style="2" customWidth="1"/>
    <col min="14082" max="14082" width="3.375" style="2" customWidth="1"/>
    <col min="14083" max="14083" width="18.375" style="2" customWidth="1"/>
    <col min="14084" max="14087" width="12.125" style="2" customWidth="1"/>
    <col min="14088" max="14089" width="10.875" style="2"/>
    <col min="14090" max="14090" width="9.625" style="2" customWidth="1"/>
    <col min="14091" max="14162" width="10.875" style="2"/>
    <col min="14163" max="14214" width="13.375" style="2" customWidth="1"/>
    <col min="14215" max="14336" width="10.875" style="2"/>
    <col min="14337" max="14337" width="13.375" style="2" customWidth="1"/>
    <col min="14338" max="14338" width="3.375" style="2" customWidth="1"/>
    <col min="14339" max="14339" width="18.375" style="2" customWidth="1"/>
    <col min="14340" max="14343" width="12.125" style="2" customWidth="1"/>
    <col min="14344" max="14345" width="10.875" style="2"/>
    <col min="14346" max="14346" width="9.625" style="2" customWidth="1"/>
    <col min="14347" max="14418" width="10.875" style="2"/>
    <col min="14419" max="14470" width="13.375" style="2" customWidth="1"/>
    <col min="14471" max="14592" width="10.875" style="2"/>
    <col min="14593" max="14593" width="13.375" style="2" customWidth="1"/>
    <col min="14594" max="14594" width="3.375" style="2" customWidth="1"/>
    <col min="14595" max="14595" width="18.375" style="2" customWidth="1"/>
    <col min="14596" max="14599" width="12.125" style="2" customWidth="1"/>
    <col min="14600" max="14601" width="10.875" style="2"/>
    <col min="14602" max="14602" width="9.625" style="2" customWidth="1"/>
    <col min="14603" max="14674" width="10.875" style="2"/>
    <col min="14675" max="14726" width="13.375" style="2" customWidth="1"/>
    <col min="14727" max="14848" width="10.875" style="2"/>
    <col min="14849" max="14849" width="13.375" style="2" customWidth="1"/>
    <col min="14850" max="14850" width="3.375" style="2" customWidth="1"/>
    <col min="14851" max="14851" width="18.375" style="2" customWidth="1"/>
    <col min="14852" max="14855" width="12.125" style="2" customWidth="1"/>
    <col min="14856" max="14857" width="10.875" style="2"/>
    <col min="14858" max="14858" width="9.625" style="2" customWidth="1"/>
    <col min="14859" max="14930" width="10.875" style="2"/>
    <col min="14931" max="14982" width="13.375" style="2" customWidth="1"/>
    <col min="14983" max="15104" width="10.875" style="2"/>
    <col min="15105" max="15105" width="13.375" style="2" customWidth="1"/>
    <col min="15106" max="15106" width="3.375" style="2" customWidth="1"/>
    <col min="15107" max="15107" width="18.375" style="2" customWidth="1"/>
    <col min="15108" max="15111" width="12.125" style="2" customWidth="1"/>
    <col min="15112" max="15113" width="10.875" style="2"/>
    <col min="15114" max="15114" width="9.625" style="2" customWidth="1"/>
    <col min="15115" max="15186" width="10.875" style="2"/>
    <col min="15187" max="15238" width="13.375" style="2" customWidth="1"/>
    <col min="15239" max="15360" width="10.875" style="2"/>
    <col min="15361" max="15361" width="13.375" style="2" customWidth="1"/>
    <col min="15362" max="15362" width="3.375" style="2" customWidth="1"/>
    <col min="15363" max="15363" width="18.375" style="2" customWidth="1"/>
    <col min="15364" max="15367" width="12.125" style="2" customWidth="1"/>
    <col min="15368" max="15369" width="10.875" style="2"/>
    <col min="15370" max="15370" width="9.625" style="2" customWidth="1"/>
    <col min="15371" max="15442" width="10.875" style="2"/>
    <col min="15443" max="15494" width="13.375" style="2" customWidth="1"/>
    <col min="15495" max="15616" width="10.875" style="2"/>
    <col min="15617" max="15617" width="13.375" style="2" customWidth="1"/>
    <col min="15618" max="15618" width="3.375" style="2" customWidth="1"/>
    <col min="15619" max="15619" width="18.375" style="2" customWidth="1"/>
    <col min="15620" max="15623" width="12.125" style="2" customWidth="1"/>
    <col min="15624" max="15625" width="10.875" style="2"/>
    <col min="15626" max="15626" width="9.625" style="2" customWidth="1"/>
    <col min="15627" max="15698" width="10.875" style="2"/>
    <col min="15699" max="15750" width="13.375" style="2" customWidth="1"/>
    <col min="15751" max="15872" width="10.875" style="2"/>
    <col min="15873" max="15873" width="13.375" style="2" customWidth="1"/>
    <col min="15874" max="15874" width="3.375" style="2" customWidth="1"/>
    <col min="15875" max="15875" width="18.375" style="2" customWidth="1"/>
    <col min="15876" max="15879" width="12.125" style="2" customWidth="1"/>
    <col min="15880" max="15881" width="10.875" style="2"/>
    <col min="15882" max="15882" width="9.625" style="2" customWidth="1"/>
    <col min="15883" max="15954" width="10.875" style="2"/>
    <col min="15955" max="16006" width="13.375" style="2" customWidth="1"/>
    <col min="16007" max="16128" width="10.875" style="2"/>
    <col min="16129" max="16129" width="13.375" style="2" customWidth="1"/>
    <col min="16130" max="16130" width="3.375" style="2" customWidth="1"/>
    <col min="16131" max="16131" width="18.375" style="2" customWidth="1"/>
    <col min="16132" max="16135" width="12.125" style="2" customWidth="1"/>
    <col min="16136" max="16137" width="10.875" style="2"/>
    <col min="16138" max="16138" width="9.625" style="2" customWidth="1"/>
    <col min="16139" max="16210" width="10.875" style="2"/>
    <col min="16211" max="16262" width="13.375" style="2" customWidth="1"/>
    <col min="16263" max="16384" width="10.875" style="2"/>
  </cols>
  <sheetData>
    <row r="1" spans="1:13" x14ac:dyDescent="0.2">
      <c r="A1" s="1"/>
    </row>
    <row r="6" spans="1:13" x14ac:dyDescent="0.2">
      <c r="E6" s="4" t="s">
        <v>524</v>
      </c>
    </row>
    <row r="7" spans="1:13" ht="18" thickBot="1" x14ac:dyDescent="0.25">
      <c r="B7" s="6"/>
      <c r="C7" s="6"/>
      <c r="D7" s="45" t="s">
        <v>554</v>
      </c>
      <c r="E7" s="6"/>
      <c r="F7" s="6"/>
      <c r="G7" s="6"/>
      <c r="H7" s="6"/>
      <c r="I7" s="6"/>
      <c r="J7" s="6"/>
      <c r="K7" s="6"/>
      <c r="L7" s="7" t="s">
        <v>555</v>
      </c>
      <c r="M7" s="6"/>
    </row>
    <row r="8" spans="1:13" x14ac:dyDescent="0.2">
      <c r="D8" s="10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">
      <c r="D9" s="13" t="s">
        <v>527</v>
      </c>
      <c r="E9" s="10"/>
      <c r="F9" s="12"/>
      <c r="G9" s="12"/>
      <c r="H9" s="31" t="s">
        <v>556</v>
      </c>
      <c r="I9" s="12"/>
      <c r="J9" s="12"/>
      <c r="K9" s="12"/>
      <c r="L9" s="12"/>
      <c r="M9" s="13" t="s">
        <v>154</v>
      </c>
    </row>
    <row r="10" spans="1:13" x14ac:dyDescent="0.2">
      <c r="B10" s="12"/>
      <c r="C10" s="12"/>
      <c r="D10" s="29" t="s">
        <v>528</v>
      </c>
      <c r="E10" s="29" t="s">
        <v>557</v>
      </c>
      <c r="F10" s="29" t="s">
        <v>558</v>
      </c>
      <c r="G10" s="29" t="s">
        <v>559</v>
      </c>
      <c r="H10" s="29" t="s">
        <v>560</v>
      </c>
      <c r="I10" s="29" t="s">
        <v>538</v>
      </c>
      <c r="J10" s="29" t="s">
        <v>539</v>
      </c>
      <c r="K10" s="29" t="s">
        <v>561</v>
      </c>
      <c r="L10" s="29" t="s">
        <v>562</v>
      </c>
      <c r="M10" s="29" t="s">
        <v>542</v>
      </c>
    </row>
    <row r="11" spans="1:13" x14ac:dyDescent="0.2">
      <c r="D11" s="10"/>
    </row>
    <row r="12" spans="1:13" x14ac:dyDescent="0.2">
      <c r="B12" s="4" t="s">
        <v>563</v>
      </c>
      <c r="C12" s="21"/>
      <c r="D12" s="20">
        <f>E12+M12</f>
        <v>517</v>
      </c>
      <c r="E12" s="21">
        <f>SUM(F12:L12)</f>
        <v>422</v>
      </c>
      <c r="F12" s="21">
        <f t="shared" ref="F12:M12" si="0">SUM(F14:F70)</f>
        <v>191</v>
      </c>
      <c r="G12" s="21">
        <f t="shared" si="0"/>
        <v>73</v>
      </c>
      <c r="H12" s="22" t="s">
        <v>52</v>
      </c>
      <c r="I12" s="21">
        <f t="shared" si="0"/>
        <v>82</v>
      </c>
      <c r="J12" s="21">
        <f t="shared" si="0"/>
        <v>6</v>
      </c>
      <c r="K12" s="22" t="s">
        <v>52</v>
      </c>
      <c r="L12" s="21">
        <f t="shared" si="0"/>
        <v>70</v>
      </c>
      <c r="M12" s="21">
        <f t="shared" si="0"/>
        <v>95</v>
      </c>
    </row>
    <row r="13" spans="1:13" x14ac:dyDescent="0.2">
      <c r="D13" s="10"/>
    </row>
    <row r="14" spans="1:13" x14ac:dyDescent="0.2">
      <c r="C14" s="1" t="s">
        <v>564</v>
      </c>
      <c r="D14" s="18">
        <f t="shared" ref="D14:D21" si="1">E14+M14</f>
        <v>12</v>
      </c>
      <c r="E14" s="43">
        <f t="shared" ref="E14:E21" si="2">SUM(F14:L14)</f>
        <v>10</v>
      </c>
      <c r="F14" s="5">
        <v>5</v>
      </c>
      <c r="G14" s="5">
        <v>4</v>
      </c>
      <c r="H14" s="19" t="s">
        <v>52</v>
      </c>
      <c r="I14" s="19" t="s">
        <v>52</v>
      </c>
      <c r="J14" s="19" t="s">
        <v>52</v>
      </c>
      <c r="K14" s="19" t="s">
        <v>52</v>
      </c>
      <c r="L14" s="5">
        <v>1</v>
      </c>
      <c r="M14" s="5">
        <v>2</v>
      </c>
    </row>
    <row r="15" spans="1:13" x14ac:dyDescent="0.2">
      <c r="C15" s="1" t="s">
        <v>239</v>
      </c>
      <c r="D15" s="18">
        <f t="shared" si="1"/>
        <v>232</v>
      </c>
      <c r="E15" s="43">
        <f t="shared" si="2"/>
        <v>232</v>
      </c>
      <c r="F15" s="5">
        <v>94</v>
      </c>
      <c r="G15" s="5">
        <v>43</v>
      </c>
      <c r="H15" s="19" t="s">
        <v>52</v>
      </c>
      <c r="I15" s="5">
        <v>57</v>
      </c>
      <c r="J15" s="5">
        <v>6</v>
      </c>
      <c r="K15" s="19" t="s">
        <v>52</v>
      </c>
      <c r="L15" s="5">
        <v>32</v>
      </c>
      <c r="M15" s="19" t="s">
        <v>52</v>
      </c>
    </row>
    <row r="16" spans="1:13" x14ac:dyDescent="0.2">
      <c r="C16" s="1" t="s">
        <v>240</v>
      </c>
      <c r="D16" s="46" t="s">
        <v>52</v>
      </c>
      <c r="E16" s="91" t="s">
        <v>52</v>
      </c>
      <c r="F16" s="19" t="s">
        <v>52</v>
      </c>
      <c r="G16" s="19" t="s">
        <v>52</v>
      </c>
      <c r="H16" s="19" t="s">
        <v>52</v>
      </c>
      <c r="I16" s="19" t="s">
        <v>52</v>
      </c>
      <c r="J16" s="19" t="s">
        <v>52</v>
      </c>
      <c r="K16" s="19" t="s">
        <v>52</v>
      </c>
      <c r="L16" s="19" t="s">
        <v>52</v>
      </c>
      <c r="M16" s="19" t="s">
        <v>52</v>
      </c>
    </row>
    <row r="17" spans="3:13" x14ac:dyDescent="0.2">
      <c r="C17" s="1" t="s">
        <v>241</v>
      </c>
      <c r="D17" s="18">
        <f t="shared" si="1"/>
        <v>42</v>
      </c>
      <c r="E17" s="43">
        <f t="shared" si="2"/>
        <v>22</v>
      </c>
      <c r="F17" s="5">
        <v>13</v>
      </c>
      <c r="G17" s="19" t="s">
        <v>52</v>
      </c>
      <c r="H17" s="19" t="s">
        <v>52</v>
      </c>
      <c r="I17" s="5">
        <v>3</v>
      </c>
      <c r="J17" s="19" t="s">
        <v>52</v>
      </c>
      <c r="K17" s="19" t="s">
        <v>52</v>
      </c>
      <c r="L17" s="5">
        <v>6</v>
      </c>
      <c r="M17" s="5">
        <v>20</v>
      </c>
    </row>
    <row r="18" spans="3:13" x14ac:dyDescent="0.2">
      <c r="C18" s="1" t="s">
        <v>242</v>
      </c>
      <c r="D18" s="18">
        <f t="shared" si="1"/>
        <v>19</v>
      </c>
      <c r="E18" s="43">
        <f t="shared" si="2"/>
        <v>16</v>
      </c>
      <c r="F18" s="5">
        <v>11</v>
      </c>
      <c r="G18" s="5">
        <v>1</v>
      </c>
      <c r="H18" s="19" t="s">
        <v>52</v>
      </c>
      <c r="I18" s="5">
        <v>2</v>
      </c>
      <c r="J18" s="19" t="s">
        <v>52</v>
      </c>
      <c r="K18" s="19" t="s">
        <v>52</v>
      </c>
      <c r="L18" s="5">
        <v>2</v>
      </c>
      <c r="M18" s="5">
        <v>3</v>
      </c>
    </row>
    <row r="19" spans="3:13" x14ac:dyDescent="0.2">
      <c r="C19" s="1" t="s">
        <v>243</v>
      </c>
      <c r="D19" s="18">
        <f t="shared" si="1"/>
        <v>10</v>
      </c>
      <c r="E19" s="43">
        <f t="shared" si="2"/>
        <v>9</v>
      </c>
      <c r="F19" s="19" t="s">
        <v>52</v>
      </c>
      <c r="G19" s="5">
        <v>1</v>
      </c>
      <c r="H19" s="19" t="s">
        <v>52</v>
      </c>
      <c r="I19" s="5">
        <v>2</v>
      </c>
      <c r="J19" s="19" t="s">
        <v>52</v>
      </c>
      <c r="K19" s="19" t="s">
        <v>52</v>
      </c>
      <c r="L19" s="5">
        <v>6</v>
      </c>
      <c r="M19" s="5">
        <v>1</v>
      </c>
    </row>
    <row r="20" spans="3:13" x14ac:dyDescent="0.2">
      <c r="C20" s="1" t="s">
        <v>244</v>
      </c>
      <c r="D20" s="18">
        <f t="shared" si="1"/>
        <v>64</v>
      </c>
      <c r="E20" s="43">
        <f t="shared" si="2"/>
        <v>37</v>
      </c>
      <c r="F20" s="5">
        <v>24</v>
      </c>
      <c r="G20" s="5">
        <v>4</v>
      </c>
      <c r="H20" s="19" t="s">
        <v>52</v>
      </c>
      <c r="I20" s="5">
        <v>2</v>
      </c>
      <c r="J20" s="19" t="s">
        <v>52</v>
      </c>
      <c r="K20" s="19" t="s">
        <v>52</v>
      </c>
      <c r="L20" s="5">
        <v>7</v>
      </c>
      <c r="M20" s="5">
        <v>27</v>
      </c>
    </row>
    <row r="21" spans="3:13" x14ac:dyDescent="0.2">
      <c r="C21" s="1" t="s">
        <v>245</v>
      </c>
      <c r="D21" s="18">
        <f t="shared" si="1"/>
        <v>10</v>
      </c>
      <c r="E21" s="43">
        <f t="shared" si="2"/>
        <v>7</v>
      </c>
      <c r="F21" s="5">
        <v>6</v>
      </c>
      <c r="G21" s="19" t="s">
        <v>52</v>
      </c>
      <c r="H21" s="19" t="s">
        <v>52</v>
      </c>
      <c r="I21" s="5">
        <v>1</v>
      </c>
      <c r="J21" s="19" t="s">
        <v>52</v>
      </c>
      <c r="K21" s="19" t="s">
        <v>52</v>
      </c>
      <c r="L21" s="19" t="s">
        <v>52</v>
      </c>
      <c r="M21" s="5">
        <v>3</v>
      </c>
    </row>
    <row r="22" spans="3:13" x14ac:dyDescent="0.2">
      <c r="D22" s="10"/>
      <c r="F22" s="5"/>
      <c r="G22" s="5"/>
      <c r="H22" s="5"/>
      <c r="I22" s="5"/>
      <c r="J22" s="5"/>
      <c r="K22" s="5"/>
      <c r="L22" s="5"/>
      <c r="M22" s="5"/>
    </row>
    <row r="23" spans="3:13" x14ac:dyDescent="0.2">
      <c r="C23" s="1" t="s">
        <v>246</v>
      </c>
      <c r="D23" s="46" t="s">
        <v>52</v>
      </c>
      <c r="E23" s="91" t="s">
        <v>52</v>
      </c>
      <c r="F23" s="19" t="s">
        <v>52</v>
      </c>
      <c r="G23" s="19" t="s">
        <v>52</v>
      </c>
      <c r="H23" s="19" t="s">
        <v>52</v>
      </c>
      <c r="I23" s="19" t="s">
        <v>52</v>
      </c>
      <c r="J23" s="19" t="s">
        <v>52</v>
      </c>
      <c r="K23" s="19" t="s">
        <v>52</v>
      </c>
      <c r="L23" s="19" t="s">
        <v>52</v>
      </c>
      <c r="M23" s="19" t="s">
        <v>52</v>
      </c>
    </row>
    <row r="24" spans="3:13" x14ac:dyDescent="0.2">
      <c r="C24" s="1" t="s">
        <v>247</v>
      </c>
      <c r="D24" s="46" t="s">
        <v>52</v>
      </c>
      <c r="E24" s="91" t="s">
        <v>52</v>
      </c>
      <c r="F24" s="19" t="s">
        <v>52</v>
      </c>
      <c r="G24" s="19" t="s">
        <v>52</v>
      </c>
      <c r="H24" s="19" t="s">
        <v>52</v>
      </c>
      <c r="I24" s="19" t="s">
        <v>52</v>
      </c>
      <c r="J24" s="19" t="s">
        <v>52</v>
      </c>
      <c r="K24" s="19" t="s">
        <v>52</v>
      </c>
      <c r="L24" s="19" t="s">
        <v>52</v>
      </c>
      <c r="M24" s="19" t="s">
        <v>52</v>
      </c>
    </row>
    <row r="25" spans="3:13" x14ac:dyDescent="0.2">
      <c r="C25" s="1" t="s">
        <v>248</v>
      </c>
      <c r="D25" s="46" t="s">
        <v>52</v>
      </c>
      <c r="E25" s="91" t="s">
        <v>52</v>
      </c>
      <c r="F25" s="19" t="s">
        <v>52</v>
      </c>
      <c r="G25" s="19" t="s">
        <v>52</v>
      </c>
      <c r="H25" s="19" t="s">
        <v>52</v>
      </c>
      <c r="I25" s="19" t="s">
        <v>52</v>
      </c>
      <c r="J25" s="19" t="s">
        <v>52</v>
      </c>
      <c r="K25" s="19" t="s">
        <v>52</v>
      </c>
      <c r="L25" s="19" t="s">
        <v>52</v>
      </c>
      <c r="M25" s="19" t="s">
        <v>52</v>
      </c>
    </row>
    <row r="26" spans="3:13" x14ac:dyDescent="0.2">
      <c r="C26" s="1" t="s">
        <v>249</v>
      </c>
      <c r="D26" s="18">
        <f t="shared" ref="D26:D31" si="3">E26+M26</f>
        <v>1</v>
      </c>
      <c r="E26" s="91" t="s">
        <v>52</v>
      </c>
      <c r="F26" s="19" t="s">
        <v>52</v>
      </c>
      <c r="G26" s="19" t="s">
        <v>52</v>
      </c>
      <c r="H26" s="19" t="s">
        <v>52</v>
      </c>
      <c r="I26" s="19" t="s">
        <v>52</v>
      </c>
      <c r="J26" s="19" t="s">
        <v>52</v>
      </c>
      <c r="K26" s="19" t="s">
        <v>52</v>
      </c>
      <c r="L26" s="19" t="s">
        <v>52</v>
      </c>
      <c r="M26" s="5">
        <v>1</v>
      </c>
    </row>
    <row r="27" spans="3:13" x14ac:dyDescent="0.2">
      <c r="C27" s="1" t="s">
        <v>250</v>
      </c>
      <c r="D27" s="18">
        <f t="shared" si="3"/>
        <v>1</v>
      </c>
      <c r="E27" s="43">
        <f>SUM(F27:L27)</f>
        <v>1</v>
      </c>
      <c r="F27" s="19" t="s">
        <v>52</v>
      </c>
      <c r="G27" s="19" t="s">
        <v>52</v>
      </c>
      <c r="H27" s="19" t="s">
        <v>52</v>
      </c>
      <c r="I27" s="19" t="s">
        <v>52</v>
      </c>
      <c r="J27" s="19" t="s">
        <v>52</v>
      </c>
      <c r="K27" s="19" t="s">
        <v>52</v>
      </c>
      <c r="L27" s="5">
        <v>1</v>
      </c>
      <c r="M27" s="19" t="s">
        <v>52</v>
      </c>
    </row>
    <row r="28" spans="3:13" x14ac:dyDescent="0.2">
      <c r="C28" s="1" t="s">
        <v>251</v>
      </c>
      <c r="D28" s="46" t="s">
        <v>52</v>
      </c>
      <c r="E28" s="91" t="s">
        <v>52</v>
      </c>
      <c r="F28" s="19" t="s">
        <v>52</v>
      </c>
      <c r="G28" s="19" t="s">
        <v>52</v>
      </c>
      <c r="H28" s="19" t="s">
        <v>52</v>
      </c>
      <c r="I28" s="19" t="s">
        <v>52</v>
      </c>
      <c r="J28" s="19" t="s">
        <v>52</v>
      </c>
      <c r="K28" s="19" t="s">
        <v>52</v>
      </c>
      <c r="L28" s="19" t="s">
        <v>52</v>
      </c>
      <c r="M28" s="19" t="s">
        <v>52</v>
      </c>
    </row>
    <row r="29" spans="3:13" x14ac:dyDescent="0.2">
      <c r="C29" s="1" t="s">
        <v>252</v>
      </c>
      <c r="D29" s="18">
        <f t="shared" si="3"/>
        <v>1</v>
      </c>
      <c r="E29" s="91" t="s">
        <v>52</v>
      </c>
      <c r="F29" s="19" t="s">
        <v>52</v>
      </c>
      <c r="G29" s="19" t="s">
        <v>52</v>
      </c>
      <c r="H29" s="19" t="s">
        <v>52</v>
      </c>
      <c r="I29" s="19" t="s">
        <v>52</v>
      </c>
      <c r="J29" s="19" t="s">
        <v>52</v>
      </c>
      <c r="K29" s="19" t="s">
        <v>52</v>
      </c>
      <c r="L29" s="19" t="s">
        <v>52</v>
      </c>
      <c r="M29" s="5">
        <v>1</v>
      </c>
    </row>
    <row r="30" spans="3:13" x14ac:dyDescent="0.2">
      <c r="C30" s="1" t="s">
        <v>253</v>
      </c>
      <c r="D30" s="18">
        <f t="shared" si="3"/>
        <v>31</v>
      </c>
      <c r="E30" s="43">
        <f>SUM(F30:L30)</f>
        <v>27</v>
      </c>
      <c r="F30" s="5">
        <v>14</v>
      </c>
      <c r="G30" s="5">
        <v>6</v>
      </c>
      <c r="H30" s="19" t="s">
        <v>52</v>
      </c>
      <c r="I30" s="5">
        <v>5</v>
      </c>
      <c r="J30" s="19" t="s">
        <v>52</v>
      </c>
      <c r="K30" s="19" t="s">
        <v>52</v>
      </c>
      <c r="L30" s="5">
        <v>2</v>
      </c>
      <c r="M30" s="5">
        <v>4</v>
      </c>
    </row>
    <row r="31" spans="3:13" x14ac:dyDescent="0.2">
      <c r="C31" s="1" t="s">
        <v>254</v>
      </c>
      <c r="D31" s="18">
        <f t="shared" si="3"/>
        <v>1</v>
      </c>
      <c r="E31" s="43">
        <f>SUM(F31:L31)</f>
        <v>1</v>
      </c>
      <c r="F31" s="19" t="s">
        <v>52</v>
      </c>
      <c r="G31" s="19" t="s">
        <v>52</v>
      </c>
      <c r="H31" s="19" t="s">
        <v>52</v>
      </c>
      <c r="I31" s="5">
        <v>1</v>
      </c>
      <c r="J31" s="19" t="s">
        <v>52</v>
      </c>
      <c r="K31" s="19" t="s">
        <v>52</v>
      </c>
      <c r="L31" s="19" t="s">
        <v>52</v>
      </c>
      <c r="M31" s="19" t="s">
        <v>52</v>
      </c>
    </row>
    <row r="32" spans="3:13" x14ac:dyDescent="0.2">
      <c r="D32" s="10"/>
      <c r="F32" s="5"/>
      <c r="G32" s="5"/>
      <c r="H32" s="5"/>
      <c r="I32" s="5"/>
      <c r="J32" s="5"/>
      <c r="K32" s="5"/>
      <c r="L32" s="5"/>
      <c r="M32" s="5"/>
    </row>
    <row r="33" spans="3:13" x14ac:dyDescent="0.2">
      <c r="C33" s="1" t="s">
        <v>255</v>
      </c>
      <c r="D33" s="46" t="s">
        <v>52</v>
      </c>
      <c r="E33" s="91" t="s">
        <v>52</v>
      </c>
      <c r="F33" s="19" t="s">
        <v>52</v>
      </c>
      <c r="G33" s="19" t="s">
        <v>52</v>
      </c>
      <c r="H33" s="19" t="s">
        <v>52</v>
      </c>
      <c r="I33" s="19" t="s">
        <v>52</v>
      </c>
      <c r="J33" s="19" t="s">
        <v>52</v>
      </c>
      <c r="K33" s="19" t="s">
        <v>52</v>
      </c>
      <c r="L33" s="19" t="s">
        <v>52</v>
      </c>
      <c r="M33" s="19" t="s">
        <v>52</v>
      </c>
    </row>
    <row r="34" spans="3:13" x14ac:dyDescent="0.2">
      <c r="C34" s="1" t="s">
        <v>256</v>
      </c>
      <c r="D34" s="46" t="s">
        <v>52</v>
      </c>
      <c r="E34" s="91" t="s">
        <v>52</v>
      </c>
      <c r="F34" s="19" t="s">
        <v>52</v>
      </c>
      <c r="G34" s="19" t="s">
        <v>52</v>
      </c>
      <c r="H34" s="19" t="s">
        <v>52</v>
      </c>
      <c r="I34" s="19" t="s">
        <v>52</v>
      </c>
      <c r="J34" s="19" t="s">
        <v>52</v>
      </c>
      <c r="K34" s="19" t="s">
        <v>52</v>
      </c>
      <c r="L34" s="19" t="s">
        <v>52</v>
      </c>
      <c r="M34" s="19" t="s">
        <v>52</v>
      </c>
    </row>
    <row r="35" spans="3:13" x14ac:dyDescent="0.2">
      <c r="C35" s="1" t="s">
        <v>257</v>
      </c>
      <c r="D35" s="46" t="s">
        <v>52</v>
      </c>
      <c r="E35" s="91" t="s">
        <v>52</v>
      </c>
      <c r="F35" s="19" t="s">
        <v>52</v>
      </c>
      <c r="G35" s="19" t="s">
        <v>52</v>
      </c>
      <c r="H35" s="19" t="s">
        <v>52</v>
      </c>
      <c r="I35" s="19" t="s">
        <v>52</v>
      </c>
      <c r="J35" s="19" t="s">
        <v>52</v>
      </c>
      <c r="K35" s="19" t="s">
        <v>52</v>
      </c>
      <c r="L35" s="19" t="s">
        <v>52</v>
      </c>
      <c r="M35" s="19" t="s">
        <v>52</v>
      </c>
    </row>
    <row r="36" spans="3:13" x14ac:dyDescent="0.2">
      <c r="C36" s="1" t="s">
        <v>258</v>
      </c>
      <c r="D36" s="46" t="s">
        <v>52</v>
      </c>
      <c r="E36" s="91" t="s">
        <v>52</v>
      </c>
      <c r="F36" s="19" t="s">
        <v>52</v>
      </c>
      <c r="G36" s="19" t="s">
        <v>52</v>
      </c>
      <c r="H36" s="19" t="s">
        <v>52</v>
      </c>
      <c r="I36" s="19" t="s">
        <v>52</v>
      </c>
      <c r="J36" s="19" t="s">
        <v>52</v>
      </c>
      <c r="K36" s="19" t="s">
        <v>52</v>
      </c>
      <c r="L36" s="19" t="s">
        <v>52</v>
      </c>
      <c r="M36" s="19" t="s">
        <v>52</v>
      </c>
    </row>
    <row r="37" spans="3:13" x14ac:dyDescent="0.2">
      <c r="C37" s="1" t="s">
        <v>259</v>
      </c>
      <c r="D37" s="46" t="s">
        <v>52</v>
      </c>
      <c r="E37" s="91" t="s">
        <v>52</v>
      </c>
      <c r="F37" s="19" t="s">
        <v>52</v>
      </c>
      <c r="G37" s="19" t="s">
        <v>52</v>
      </c>
      <c r="H37" s="19" t="s">
        <v>52</v>
      </c>
      <c r="I37" s="19" t="s">
        <v>52</v>
      </c>
      <c r="J37" s="19" t="s">
        <v>52</v>
      </c>
      <c r="K37" s="19" t="s">
        <v>52</v>
      </c>
      <c r="L37" s="19" t="s">
        <v>52</v>
      </c>
      <c r="M37" s="19" t="s">
        <v>52</v>
      </c>
    </row>
    <row r="38" spans="3:13" x14ac:dyDescent="0.2">
      <c r="D38" s="10"/>
      <c r="F38" s="5"/>
      <c r="G38" s="5"/>
      <c r="H38" s="5"/>
      <c r="I38" s="5"/>
      <c r="J38" s="5"/>
      <c r="K38" s="5"/>
      <c r="L38" s="5"/>
      <c r="M38" s="5"/>
    </row>
    <row r="39" spans="3:13" x14ac:dyDescent="0.2">
      <c r="C39" s="1" t="s">
        <v>260</v>
      </c>
      <c r="D39" s="18">
        <f>E39+M39</f>
        <v>3</v>
      </c>
      <c r="E39" s="43">
        <f>SUM(F39:L39)</f>
        <v>2</v>
      </c>
      <c r="F39" s="5">
        <v>2</v>
      </c>
      <c r="G39" s="19" t="s">
        <v>52</v>
      </c>
      <c r="H39" s="19" t="s">
        <v>52</v>
      </c>
      <c r="I39" s="19" t="s">
        <v>52</v>
      </c>
      <c r="J39" s="19" t="s">
        <v>52</v>
      </c>
      <c r="K39" s="19" t="s">
        <v>52</v>
      </c>
      <c r="L39" s="19" t="s">
        <v>52</v>
      </c>
      <c r="M39" s="5">
        <v>1</v>
      </c>
    </row>
    <row r="40" spans="3:13" x14ac:dyDescent="0.2">
      <c r="C40" s="1" t="s">
        <v>261</v>
      </c>
      <c r="D40" s="18">
        <f>E40+M40</f>
        <v>6</v>
      </c>
      <c r="E40" s="43">
        <f>SUM(F40:L40)</f>
        <v>2</v>
      </c>
      <c r="F40" s="5">
        <v>1</v>
      </c>
      <c r="G40" s="19" t="s">
        <v>52</v>
      </c>
      <c r="H40" s="19" t="s">
        <v>52</v>
      </c>
      <c r="I40" s="5">
        <v>1</v>
      </c>
      <c r="J40" s="19" t="s">
        <v>52</v>
      </c>
      <c r="K40" s="19" t="s">
        <v>52</v>
      </c>
      <c r="L40" s="19" t="s">
        <v>52</v>
      </c>
      <c r="M40" s="5">
        <v>4</v>
      </c>
    </row>
    <row r="41" spans="3:13" x14ac:dyDescent="0.2">
      <c r="C41" s="1" t="s">
        <v>262</v>
      </c>
      <c r="D41" s="18">
        <f>E41+M41</f>
        <v>10</v>
      </c>
      <c r="E41" s="43">
        <f>SUM(F41:L41)</f>
        <v>10</v>
      </c>
      <c r="F41" s="5">
        <v>4</v>
      </c>
      <c r="G41" s="5">
        <v>4</v>
      </c>
      <c r="H41" s="19" t="s">
        <v>52</v>
      </c>
      <c r="I41" s="5">
        <v>2</v>
      </c>
      <c r="J41" s="19" t="s">
        <v>52</v>
      </c>
      <c r="K41" s="19" t="s">
        <v>52</v>
      </c>
      <c r="L41" s="19" t="s">
        <v>52</v>
      </c>
      <c r="M41" s="19" t="s">
        <v>52</v>
      </c>
    </row>
    <row r="42" spans="3:13" x14ac:dyDescent="0.2">
      <c r="C42" s="1" t="s">
        <v>263</v>
      </c>
      <c r="D42" s="18">
        <f>E42+M42</f>
        <v>1</v>
      </c>
      <c r="E42" s="43">
        <f>SUM(F42:L42)</f>
        <v>1</v>
      </c>
      <c r="F42" s="19" t="s">
        <v>52</v>
      </c>
      <c r="G42" s="19" t="s">
        <v>52</v>
      </c>
      <c r="H42" s="19" t="s">
        <v>52</v>
      </c>
      <c r="I42" s="19" t="s">
        <v>52</v>
      </c>
      <c r="J42" s="19" t="s">
        <v>52</v>
      </c>
      <c r="K42" s="19" t="s">
        <v>52</v>
      </c>
      <c r="L42" s="5">
        <v>1</v>
      </c>
      <c r="M42" s="19" t="s">
        <v>52</v>
      </c>
    </row>
    <row r="43" spans="3:13" x14ac:dyDescent="0.2">
      <c r="C43" s="1" t="s">
        <v>264</v>
      </c>
      <c r="D43" s="46" t="s">
        <v>52</v>
      </c>
      <c r="E43" s="91" t="s">
        <v>52</v>
      </c>
      <c r="F43" s="19" t="s">
        <v>52</v>
      </c>
      <c r="G43" s="19" t="s">
        <v>52</v>
      </c>
      <c r="H43" s="19" t="s">
        <v>52</v>
      </c>
      <c r="I43" s="19" t="s">
        <v>52</v>
      </c>
      <c r="J43" s="19" t="s">
        <v>52</v>
      </c>
      <c r="K43" s="19" t="s">
        <v>52</v>
      </c>
      <c r="L43" s="19" t="s">
        <v>52</v>
      </c>
      <c r="M43" s="19" t="s">
        <v>52</v>
      </c>
    </row>
    <row r="44" spans="3:13" x14ac:dyDescent="0.2">
      <c r="D44" s="10"/>
      <c r="F44" s="5"/>
      <c r="G44" s="5"/>
      <c r="H44" s="5"/>
      <c r="I44" s="5"/>
      <c r="J44" s="5"/>
      <c r="K44" s="5"/>
      <c r="L44" s="5"/>
      <c r="M44" s="5"/>
    </row>
    <row r="45" spans="3:13" x14ac:dyDescent="0.2">
      <c r="C45" s="1" t="s">
        <v>265</v>
      </c>
      <c r="D45" s="46" t="s">
        <v>52</v>
      </c>
      <c r="E45" s="91" t="s">
        <v>52</v>
      </c>
      <c r="F45" s="19" t="s">
        <v>52</v>
      </c>
      <c r="G45" s="19" t="s">
        <v>52</v>
      </c>
      <c r="H45" s="19" t="s">
        <v>52</v>
      </c>
      <c r="I45" s="19" t="s">
        <v>52</v>
      </c>
      <c r="J45" s="19" t="s">
        <v>52</v>
      </c>
      <c r="K45" s="19" t="s">
        <v>52</v>
      </c>
      <c r="L45" s="19" t="s">
        <v>52</v>
      </c>
      <c r="M45" s="19" t="s">
        <v>52</v>
      </c>
    </row>
    <row r="46" spans="3:13" x14ac:dyDescent="0.2">
      <c r="C46" s="1" t="s">
        <v>266</v>
      </c>
      <c r="D46" s="46" t="s">
        <v>52</v>
      </c>
      <c r="E46" s="91" t="s">
        <v>52</v>
      </c>
      <c r="F46" s="19" t="s">
        <v>52</v>
      </c>
      <c r="G46" s="19" t="s">
        <v>52</v>
      </c>
      <c r="H46" s="19" t="s">
        <v>52</v>
      </c>
      <c r="I46" s="19" t="s">
        <v>52</v>
      </c>
      <c r="J46" s="19" t="s">
        <v>52</v>
      </c>
      <c r="K46" s="19" t="s">
        <v>52</v>
      </c>
      <c r="L46" s="19" t="s">
        <v>52</v>
      </c>
      <c r="M46" s="19" t="s">
        <v>52</v>
      </c>
    </row>
    <row r="47" spans="3:13" x14ac:dyDescent="0.2">
      <c r="C47" s="1" t="s">
        <v>267</v>
      </c>
      <c r="D47" s="18">
        <f>E47+M47</f>
        <v>2</v>
      </c>
      <c r="E47" s="43">
        <f>SUM(F47:L47)</f>
        <v>2</v>
      </c>
      <c r="F47" s="19" t="s">
        <v>52</v>
      </c>
      <c r="G47" s="5">
        <v>1</v>
      </c>
      <c r="H47" s="19" t="s">
        <v>52</v>
      </c>
      <c r="I47" s="5">
        <v>1</v>
      </c>
      <c r="J47" s="19" t="s">
        <v>52</v>
      </c>
      <c r="K47" s="19" t="s">
        <v>52</v>
      </c>
      <c r="L47" s="19" t="s">
        <v>52</v>
      </c>
      <c r="M47" s="19" t="s">
        <v>52</v>
      </c>
    </row>
    <row r="48" spans="3:13" x14ac:dyDescent="0.2">
      <c r="C48" s="1" t="s">
        <v>268</v>
      </c>
      <c r="D48" s="18">
        <f>E48+M48</f>
        <v>8</v>
      </c>
      <c r="E48" s="43">
        <f>SUM(F48:L48)</f>
        <v>6</v>
      </c>
      <c r="F48" s="19" t="s">
        <v>52</v>
      </c>
      <c r="G48" s="5">
        <v>2</v>
      </c>
      <c r="H48" s="19" t="s">
        <v>52</v>
      </c>
      <c r="I48" s="19" t="s">
        <v>52</v>
      </c>
      <c r="J48" s="19" t="s">
        <v>52</v>
      </c>
      <c r="K48" s="19" t="s">
        <v>52</v>
      </c>
      <c r="L48" s="5">
        <v>4</v>
      </c>
      <c r="M48" s="5">
        <v>2</v>
      </c>
    </row>
    <row r="49" spans="3:13" x14ac:dyDescent="0.2">
      <c r="C49" s="1" t="s">
        <v>269</v>
      </c>
      <c r="D49" s="46" t="s">
        <v>52</v>
      </c>
      <c r="E49" s="91" t="s">
        <v>52</v>
      </c>
      <c r="F49" s="19" t="s">
        <v>52</v>
      </c>
      <c r="G49" s="19" t="s">
        <v>52</v>
      </c>
      <c r="H49" s="19" t="s">
        <v>52</v>
      </c>
      <c r="I49" s="19" t="s">
        <v>52</v>
      </c>
      <c r="J49" s="19" t="s">
        <v>52</v>
      </c>
      <c r="K49" s="19" t="s">
        <v>52</v>
      </c>
      <c r="L49" s="19" t="s">
        <v>52</v>
      </c>
      <c r="M49" s="19" t="s">
        <v>52</v>
      </c>
    </row>
    <row r="50" spans="3:13" x14ac:dyDescent="0.2">
      <c r="C50" s="1" t="s">
        <v>270</v>
      </c>
      <c r="D50" s="46" t="s">
        <v>52</v>
      </c>
      <c r="E50" s="91" t="s">
        <v>52</v>
      </c>
      <c r="F50" s="19" t="s">
        <v>52</v>
      </c>
      <c r="G50" s="19" t="s">
        <v>52</v>
      </c>
      <c r="H50" s="19" t="s">
        <v>52</v>
      </c>
      <c r="I50" s="19" t="s">
        <v>52</v>
      </c>
      <c r="J50" s="19" t="s">
        <v>52</v>
      </c>
      <c r="K50" s="19" t="s">
        <v>52</v>
      </c>
      <c r="L50" s="19" t="s">
        <v>52</v>
      </c>
      <c r="M50" s="19" t="s">
        <v>52</v>
      </c>
    </row>
    <row r="51" spans="3:13" x14ac:dyDescent="0.2">
      <c r="C51" s="1" t="s">
        <v>271</v>
      </c>
      <c r="D51" s="46" t="s">
        <v>52</v>
      </c>
      <c r="E51" s="91" t="s">
        <v>52</v>
      </c>
      <c r="F51" s="19" t="s">
        <v>52</v>
      </c>
      <c r="G51" s="19" t="s">
        <v>52</v>
      </c>
      <c r="H51" s="19" t="s">
        <v>52</v>
      </c>
      <c r="I51" s="19" t="s">
        <v>52</v>
      </c>
      <c r="J51" s="19" t="s">
        <v>52</v>
      </c>
      <c r="K51" s="19" t="s">
        <v>52</v>
      </c>
      <c r="L51" s="19" t="s">
        <v>52</v>
      </c>
      <c r="M51" s="19" t="s">
        <v>52</v>
      </c>
    </row>
    <row r="52" spans="3:13" x14ac:dyDescent="0.2">
      <c r="C52" s="1" t="s">
        <v>272</v>
      </c>
      <c r="D52" s="46" t="s">
        <v>52</v>
      </c>
      <c r="E52" s="91" t="s">
        <v>52</v>
      </c>
      <c r="F52" s="19" t="s">
        <v>52</v>
      </c>
      <c r="G52" s="19" t="s">
        <v>52</v>
      </c>
      <c r="H52" s="19" t="s">
        <v>52</v>
      </c>
      <c r="I52" s="19" t="s">
        <v>52</v>
      </c>
      <c r="J52" s="19" t="s">
        <v>52</v>
      </c>
      <c r="K52" s="19" t="s">
        <v>52</v>
      </c>
      <c r="L52" s="19" t="s">
        <v>52</v>
      </c>
      <c r="M52" s="19" t="s">
        <v>52</v>
      </c>
    </row>
    <row r="53" spans="3:13" x14ac:dyDescent="0.2">
      <c r="C53" s="1" t="s">
        <v>273</v>
      </c>
      <c r="D53" s="46" t="s">
        <v>52</v>
      </c>
      <c r="E53" s="91" t="s">
        <v>52</v>
      </c>
      <c r="F53" s="19" t="s">
        <v>52</v>
      </c>
      <c r="G53" s="19" t="s">
        <v>52</v>
      </c>
      <c r="H53" s="19" t="s">
        <v>52</v>
      </c>
      <c r="I53" s="19" t="s">
        <v>52</v>
      </c>
      <c r="J53" s="19" t="s">
        <v>52</v>
      </c>
      <c r="K53" s="19" t="s">
        <v>52</v>
      </c>
      <c r="L53" s="19" t="s">
        <v>52</v>
      </c>
      <c r="M53" s="19" t="s">
        <v>52</v>
      </c>
    </row>
    <row r="54" spans="3:13" x14ac:dyDescent="0.2">
      <c r="C54" s="1" t="s">
        <v>274</v>
      </c>
      <c r="D54" s="46" t="s">
        <v>52</v>
      </c>
      <c r="E54" s="91" t="s">
        <v>52</v>
      </c>
      <c r="F54" s="19" t="s">
        <v>52</v>
      </c>
      <c r="G54" s="19" t="s">
        <v>52</v>
      </c>
      <c r="H54" s="19" t="s">
        <v>52</v>
      </c>
      <c r="I54" s="19" t="s">
        <v>52</v>
      </c>
      <c r="J54" s="19" t="s">
        <v>52</v>
      </c>
      <c r="K54" s="19" t="s">
        <v>52</v>
      </c>
      <c r="L54" s="19" t="s">
        <v>52</v>
      </c>
      <c r="M54" s="19" t="s">
        <v>52</v>
      </c>
    </row>
    <row r="55" spans="3:13" x14ac:dyDescent="0.2">
      <c r="D55" s="10"/>
      <c r="F55" s="5"/>
      <c r="G55" s="5"/>
      <c r="H55" s="5"/>
      <c r="I55" s="5"/>
      <c r="J55" s="5"/>
      <c r="K55" s="5"/>
      <c r="L55" s="5"/>
      <c r="M55" s="5"/>
    </row>
    <row r="56" spans="3:13" x14ac:dyDescent="0.2">
      <c r="C56" s="1" t="s">
        <v>275</v>
      </c>
      <c r="D56" s="18">
        <f>E56+M56</f>
        <v>13</v>
      </c>
      <c r="E56" s="43">
        <f>SUM(F56:L56)</f>
        <v>6</v>
      </c>
      <c r="F56" s="5">
        <v>3</v>
      </c>
      <c r="G56" s="5">
        <v>2</v>
      </c>
      <c r="H56" s="19" t="s">
        <v>52</v>
      </c>
      <c r="I56" s="5">
        <v>1</v>
      </c>
      <c r="J56" s="19" t="s">
        <v>52</v>
      </c>
      <c r="K56" s="19" t="s">
        <v>52</v>
      </c>
      <c r="L56" s="19" t="s">
        <v>52</v>
      </c>
      <c r="M56" s="5">
        <v>7</v>
      </c>
    </row>
    <row r="57" spans="3:13" x14ac:dyDescent="0.2">
      <c r="C57" s="1" t="s">
        <v>276</v>
      </c>
      <c r="D57" s="46" t="s">
        <v>52</v>
      </c>
      <c r="E57" s="91" t="s">
        <v>52</v>
      </c>
      <c r="F57" s="19" t="s">
        <v>52</v>
      </c>
      <c r="G57" s="19" t="s">
        <v>52</v>
      </c>
      <c r="H57" s="19" t="s">
        <v>52</v>
      </c>
      <c r="I57" s="19" t="s">
        <v>52</v>
      </c>
      <c r="J57" s="19" t="s">
        <v>52</v>
      </c>
      <c r="K57" s="19" t="s">
        <v>52</v>
      </c>
      <c r="L57" s="19" t="s">
        <v>52</v>
      </c>
      <c r="M57" s="19" t="s">
        <v>52</v>
      </c>
    </row>
    <row r="58" spans="3:13" x14ac:dyDescent="0.2">
      <c r="C58" s="1" t="s">
        <v>277</v>
      </c>
      <c r="D58" s="46" t="s">
        <v>52</v>
      </c>
      <c r="E58" s="91" t="s">
        <v>52</v>
      </c>
      <c r="F58" s="19" t="s">
        <v>52</v>
      </c>
      <c r="G58" s="19" t="s">
        <v>52</v>
      </c>
      <c r="H58" s="19" t="s">
        <v>52</v>
      </c>
      <c r="I58" s="19" t="s">
        <v>52</v>
      </c>
      <c r="J58" s="19" t="s">
        <v>52</v>
      </c>
      <c r="K58" s="19" t="s">
        <v>52</v>
      </c>
      <c r="L58" s="19" t="s">
        <v>52</v>
      </c>
      <c r="M58" s="19" t="s">
        <v>52</v>
      </c>
    </row>
    <row r="59" spans="3:13" x14ac:dyDescent="0.2">
      <c r="C59" s="1" t="s">
        <v>278</v>
      </c>
      <c r="D59" s="18">
        <f>E59+M59</f>
        <v>3</v>
      </c>
      <c r="E59" s="43">
        <f>SUM(F59:L59)</f>
        <v>3</v>
      </c>
      <c r="F59" s="5">
        <v>1</v>
      </c>
      <c r="G59" s="5">
        <v>1</v>
      </c>
      <c r="H59" s="19" t="s">
        <v>52</v>
      </c>
      <c r="I59" s="19" t="s">
        <v>52</v>
      </c>
      <c r="J59" s="19" t="s">
        <v>52</v>
      </c>
      <c r="K59" s="19" t="s">
        <v>52</v>
      </c>
      <c r="L59" s="5">
        <v>1</v>
      </c>
      <c r="M59" s="19" t="s">
        <v>52</v>
      </c>
    </row>
    <row r="60" spans="3:13" x14ac:dyDescent="0.2">
      <c r="C60" s="1" t="s">
        <v>279</v>
      </c>
      <c r="D60" s="46" t="s">
        <v>52</v>
      </c>
      <c r="E60" s="91" t="s">
        <v>52</v>
      </c>
      <c r="F60" s="19" t="s">
        <v>52</v>
      </c>
      <c r="G60" s="19" t="s">
        <v>52</v>
      </c>
      <c r="H60" s="19" t="s">
        <v>52</v>
      </c>
      <c r="I60" s="19" t="s">
        <v>52</v>
      </c>
      <c r="J60" s="19" t="s">
        <v>52</v>
      </c>
      <c r="K60" s="19" t="s">
        <v>52</v>
      </c>
      <c r="L60" s="19" t="s">
        <v>52</v>
      </c>
      <c r="M60" s="19" t="s">
        <v>52</v>
      </c>
    </row>
    <row r="61" spans="3:13" x14ac:dyDescent="0.2">
      <c r="C61" s="1" t="s">
        <v>280</v>
      </c>
      <c r="D61" s="46" t="s">
        <v>52</v>
      </c>
      <c r="E61" s="91" t="s">
        <v>52</v>
      </c>
      <c r="F61" s="19" t="s">
        <v>52</v>
      </c>
      <c r="G61" s="19" t="s">
        <v>52</v>
      </c>
      <c r="H61" s="19" t="s">
        <v>52</v>
      </c>
      <c r="I61" s="19" t="s">
        <v>52</v>
      </c>
      <c r="J61" s="19" t="s">
        <v>52</v>
      </c>
      <c r="K61" s="19" t="s">
        <v>52</v>
      </c>
      <c r="L61" s="19" t="s">
        <v>52</v>
      </c>
      <c r="M61" s="19" t="s">
        <v>52</v>
      </c>
    </row>
    <row r="62" spans="3:13" x14ac:dyDescent="0.2">
      <c r="C62" s="1" t="s">
        <v>281</v>
      </c>
      <c r="D62" s="46" t="s">
        <v>52</v>
      </c>
      <c r="E62" s="91" t="s">
        <v>52</v>
      </c>
      <c r="F62" s="19" t="s">
        <v>52</v>
      </c>
      <c r="G62" s="19" t="s">
        <v>52</v>
      </c>
      <c r="H62" s="19" t="s">
        <v>52</v>
      </c>
      <c r="I62" s="19" t="s">
        <v>52</v>
      </c>
      <c r="J62" s="19" t="s">
        <v>52</v>
      </c>
      <c r="K62" s="19" t="s">
        <v>52</v>
      </c>
      <c r="L62" s="19" t="s">
        <v>52</v>
      </c>
      <c r="M62" s="19" t="s">
        <v>52</v>
      </c>
    </row>
    <row r="63" spans="3:13" x14ac:dyDescent="0.2">
      <c r="D63" s="10"/>
      <c r="F63" s="5"/>
      <c r="G63" s="5"/>
      <c r="H63" s="5"/>
      <c r="I63" s="5"/>
      <c r="J63" s="5"/>
      <c r="K63" s="5"/>
      <c r="L63" s="5"/>
      <c r="M63" s="5"/>
    </row>
    <row r="64" spans="3:13" x14ac:dyDescent="0.2">
      <c r="C64" s="1" t="s">
        <v>282</v>
      </c>
      <c r="D64" s="18">
        <f>E64+M64</f>
        <v>47</v>
      </c>
      <c r="E64" s="43">
        <f>SUM(F64:L64)</f>
        <v>28</v>
      </c>
      <c r="F64" s="5">
        <v>13</v>
      </c>
      <c r="G64" s="5">
        <v>4</v>
      </c>
      <c r="H64" s="19" t="s">
        <v>52</v>
      </c>
      <c r="I64" s="5">
        <v>4</v>
      </c>
      <c r="J64" s="19" t="s">
        <v>52</v>
      </c>
      <c r="K64" s="19" t="s">
        <v>52</v>
      </c>
      <c r="L64" s="5">
        <v>7</v>
      </c>
      <c r="M64" s="5">
        <v>19</v>
      </c>
    </row>
    <row r="65" spans="1:13" x14ac:dyDescent="0.2">
      <c r="C65" s="1" t="s">
        <v>283</v>
      </c>
      <c r="D65" s="46" t="s">
        <v>52</v>
      </c>
      <c r="E65" s="91" t="s">
        <v>52</v>
      </c>
      <c r="F65" s="19" t="s">
        <v>52</v>
      </c>
      <c r="G65" s="19" t="s">
        <v>52</v>
      </c>
      <c r="H65" s="19" t="s">
        <v>52</v>
      </c>
      <c r="I65" s="19" t="s">
        <v>52</v>
      </c>
      <c r="J65" s="19" t="s">
        <v>52</v>
      </c>
      <c r="K65" s="19" t="s">
        <v>52</v>
      </c>
      <c r="L65" s="19" t="s">
        <v>52</v>
      </c>
      <c r="M65" s="19" t="s">
        <v>52</v>
      </c>
    </row>
    <row r="66" spans="1:13" x14ac:dyDescent="0.2">
      <c r="C66" s="1" t="s">
        <v>284</v>
      </c>
      <c r="D66" s="46" t="s">
        <v>52</v>
      </c>
      <c r="E66" s="91" t="s">
        <v>52</v>
      </c>
      <c r="F66" s="19" t="s">
        <v>52</v>
      </c>
      <c r="G66" s="19" t="s">
        <v>52</v>
      </c>
      <c r="H66" s="19" t="s">
        <v>52</v>
      </c>
      <c r="I66" s="19" t="s">
        <v>52</v>
      </c>
      <c r="J66" s="19" t="s">
        <v>52</v>
      </c>
      <c r="K66" s="19" t="s">
        <v>52</v>
      </c>
      <c r="L66" s="19" t="s">
        <v>52</v>
      </c>
      <c r="M66" s="19" t="s">
        <v>52</v>
      </c>
    </row>
    <row r="67" spans="1:13" x14ac:dyDescent="0.2">
      <c r="C67" s="1" t="s">
        <v>285</v>
      </c>
      <c r="D67" s="46" t="s">
        <v>52</v>
      </c>
      <c r="E67" s="91" t="s">
        <v>52</v>
      </c>
      <c r="F67" s="19" t="s">
        <v>52</v>
      </c>
      <c r="G67" s="19" t="s">
        <v>52</v>
      </c>
      <c r="H67" s="19" t="s">
        <v>52</v>
      </c>
      <c r="I67" s="19" t="s">
        <v>52</v>
      </c>
      <c r="J67" s="19" t="s">
        <v>52</v>
      </c>
      <c r="K67" s="19" t="s">
        <v>52</v>
      </c>
      <c r="L67" s="19" t="s">
        <v>52</v>
      </c>
      <c r="M67" s="19" t="s">
        <v>52</v>
      </c>
    </row>
    <row r="68" spans="1:13" x14ac:dyDescent="0.2">
      <c r="C68" s="1" t="s">
        <v>286</v>
      </c>
      <c r="D68" s="46" t="s">
        <v>52</v>
      </c>
      <c r="E68" s="91" t="s">
        <v>52</v>
      </c>
      <c r="F68" s="19" t="s">
        <v>52</v>
      </c>
      <c r="G68" s="19" t="s">
        <v>52</v>
      </c>
      <c r="H68" s="19" t="s">
        <v>52</v>
      </c>
      <c r="I68" s="19" t="s">
        <v>52</v>
      </c>
      <c r="J68" s="19" t="s">
        <v>52</v>
      </c>
      <c r="K68" s="19" t="s">
        <v>52</v>
      </c>
      <c r="L68" s="19" t="s">
        <v>52</v>
      </c>
      <c r="M68" s="19" t="s">
        <v>52</v>
      </c>
    </row>
    <row r="69" spans="1:13" x14ac:dyDescent="0.2">
      <c r="C69" s="1" t="s">
        <v>287</v>
      </c>
      <c r="D69" s="46" t="s">
        <v>52</v>
      </c>
      <c r="E69" s="91" t="s">
        <v>52</v>
      </c>
      <c r="F69" s="19" t="s">
        <v>52</v>
      </c>
      <c r="G69" s="19" t="s">
        <v>52</v>
      </c>
      <c r="H69" s="19" t="s">
        <v>52</v>
      </c>
      <c r="I69" s="19" t="s">
        <v>52</v>
      </c>
      <c r="J69" s="19" t="s">
        <v>52</v>
      </c>
      <c r="K69" s="19" t="s">
        <v>52</v>
      </c>
      <c r="L69" s="19" t="s">
        <v>52</v>
      </c>
      <c r="M69" s="19" t="s">
        <v>52</v>
      </c>
    </row>
    <row r="70" spans="1:13" x14ac:dyDescent="0.2">
      <c r="C70" s="1" t="s">
        <v>288</v>
      </c>
      <c r="D70" s="46" t="s">
        <v>52</v>
      </c>
      <c r="E70" s="91" t="s">
        <v>52</v>
      </c>
      <c r="F70" s="19" t="s">
        <v>52</v>
      </c>
      <c r="G70" s="19" t="s">
        <v>52</v>
      </c>
      <c r="H70" s="19" t="s">
        <v>52</v>
      </c>
      <c r="I70" s="19" t="s">
        <v>52</v>
      </c>
      <c r="J70" s="19" t="s">
        <v>52</v>
      </c>
      <c r="K70" s="19" t="s">
        <v>52</v>
      </c>
      <c r="L70" s="19" t="s">
        <v>52</v>
      </c>
      <c r="M70" s="19" t="s">
        <v>52</v>
      </c>
    </row>
    <row r="71" spans="1:13" ht="18" thickBot="1" x14ac:dyDescent="0.25">
      <c r="B71" s="6"/>
      <c r="C71" s="6"/>
      <c r="D71" s="92"/>
      <c r="E71" s="93"/>
      <c r="F71" s="93"/>
      <c r="G71" s="93"/>
      <c r="H71" s="93"/>
      <c r="I71" s="93"/>
      <c r="J71" s="93"/>
      <c r="K71" s="93"/>
      <c r="L71" s="93"/>
      <c r="M71" s="93"/>
    </row>
    <row r="72" spans="1:13" x14ac:dyDescent="0.2">
      <c r="D72" s="1" t="s">
        <v>313</v>
      </c>
      <c r="H72" s="1" t="s">
        <v>565</v>
      </c>
    </row>
    <row r="73" spans="1:13" x14ac:dyDescent="0.2">
      <c r="A73" s="1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.125" style="2" customWidth="1"/>
    <col min="3" max="3" width="15.875" style="2" customWidth="1"/>
    <col min="4" max="7" width="10.875" style="2"/>
    <col min="8" max="13" width="12.125" style="2" customWidth="1"/>
    <col min="14" max="86" width="10.875" style="2"/>
    <col min="87" max="138" width="13.375" style="2" customWidth="1"/>
    <col min="139" max="256" width="10.875" style="2"/>
    <col min="257" max="257" width="13.375" style="2" customWidth="1"/>
    <col min="258" max="258" width="2.125" style="2" customWidth="1"/>
    <col min="259" max="259" width="15.875" style="2" customWidth="1"/>
    <col min="260" max="263" width="10.875" style="2"/>
    <col min="264" max="269" width="12.125" style="2" customWidth="1"/>
    <col min="270" max="342" width="10.875" style="2"/>
    <col min="343" max="394" width="13.375" style="2" customWidth="1"/>
    <col min="395" max="512" width="10.875" style="2"/>
    <col min="513" max="513" width="13.375" style="2" customWidth="1"/>
    <col min="514" max="514" width="2.125" style="2" customWidth="1"/>
    <col min="515" max="515" width="15.875" style="2" customWidth="1"/>
    <col min="516" max="519" width="10.875" style="2"/>
    <col min="520" max="525" width="12.125" style="2" customWidth="1"/>
    <col min="526" max="598" width="10.875" style="2"/>
    <col min="599" max="650" width="13.375" style="2" customWidth="1"/>
    <col min="651" max="768" width="10.875" style="2"/>
    <col min="769" max="769" width="13.375" style="2" customWidth="1"/>
    <col min="770" max="770" width="2.125" style="2" customWidth="1"/>
    <col min="771" max="771" width="15.875" style="2" customWidth="1"/>
    <col min="772" max="775" width="10.875" style="2"/>
    <col min="776" max="781" width="12.125" style="2" customWidth="1"/>
    <col min="782" max="854" width="10.875" style="2"/>
    <col min="855" max="906" width="13.375" style="2" customWidth="1"/>
    <col min="907" max="1024" width="10.875" style="2"/>
    <col min="1025" max="1025" width="13.375" style="2" customWidth="1"/>
    <col min="1026" max="1026" width="2.125" style="2" customWidth="1"/>
    <col min="1027" max="1027" width="15.875" style="2" customWidth="1"/>
    <col min="1028" max="1031" width="10.875" style="2"/>
    <col min="1032" max="1037" width="12.125" style="2" customWidth="1"/>
    <col min="1038" max="1110" width="10.875" style="2"/>
    <col min="1111" max="1162" width="13.375" style="2" customWidth="1"/>
    <col min="1163" max="1280" width="10.875" style="2"/>
    <col min="1281" max="1281" width="13.375" style="2" customWidth="1"/>
    <col min="1282" max="1282" width="2.125" style="2" customWidth="1"/>
    <col min="1283" max="1283" width="15.875" style="2" customWidth="1"/>
    <col min="1284" max="1287" width="10.875" style="2"/>
    <col min="1288" max="1293" width="12.125" style="2" customWidth="1"/>
    <col min="1294" max="1366" width="10.875" style="2"/>
    <col min="1367" max="1418" width="13.375" style="2" customWidth="1"/>
    <col min="1419" max="1536" width="10.875" style="2"/>
    <col min="1537" max="1537" width="13.375" style="2" customWidth="1"/>
    <col min="1538" max="1538" width="2.125" style="2" customWidth="1"/>
    <col min="1539" max="1539" width="15.875" style="2" customWidth="1"/>
    <col min="1540" max="1543" width="10.875" style="2"/>
    <col min="1544" max="1549" width="12.125" style="2" customWidth="1"/>
    <col min="1550" max="1622" width="10.875" style="2"/>
    <col min="1623" max="1674" width="13.375" style="2" customWidth="1"/>
    <col min="1675" max="1792" width="10.875" style="2"/>
    <col min="1793" max="1793" width="13.375" style="2" customWidth="1"/>
    <col min="1794" max="1794" width="2.125" style="2" customWidth="1"/>
    <col min="1795" max="1795" width="15.875" style="2" customWidth="1"/>
    <col min="1796" max="1799" width="10.875" style="2"/>
    <col min="1800" max="1805" width="12.125" style="2" customWidth="1"/>
    <col min="1806" max="1878" width="10.875" style="2"/>
    <col min="1879" max="1930" width="13.375" style="2" customWidth="1"/>
    <col min="1931" max="2048" width="10.875" style="2"/>
    <col min="2049" max="2049" width="13.375" style="2" customWidth="1"/>
    <col min="2050" max="2050" width="2.125" style="2" customWidth="1"/>
    <col min="2051" max="2051" width="15.875" style="2" customWidth="1"/>
    <col min="2052" max="2055" width="10.875" style="2"/>
    <col min="2056" max="2061" width="12.125" style="2" customWidth="1"/>
    <col min="2062" max="2134" width="10.875" style="2"/>
    <col min="2135" max="2186" width="13.375" style="2" customWidth="1"/>
    <col min="2187" max="2304" width="10.875" style="2"/>
    <col min="2305" max="2305" width="13.375" style="2" customWidth="1"/>
    <col min="2306" max="2306" width="2.125" style="2" customWidth="1"/>
    <col min="2307" max="2307" width="15.875" style="2" customWidth="1"/>
    <col min="2308" max="2311" width="10.875" style="2"/>
    <col min="2312" max="2317" width="12.125" style="2" customWidth="1"/>
    <col min="2318" max="2390" width="10.875" style="2"/>
    <col min="2391" max="2442" width="13.375" style="2" customWidth="1"/>
    <col min="2443" max="2560" width="10.875" style="2"/>
    <col min="2561" max="2561" width="13.375" style="2" customWidth="1"/>
    <col min="2562" max="2562" width="2.125" style="2" customWidth="1"/>
    <col min="2563" max="2563" width="15.875" style="2" customWidth="1"/>
    <col min="2564" max="2567" width="10.875" style="2"/>
    <col min="2568" max="2573" width="12.125" style="2" customWidth="1"/>
    <col min="2574" max="2646" width="10.875" style="2"/>
    <col min="2647" max="2698" width="13.375" style="2" customWidth="1"/>
    <col min="2699" max="2816" width="10.875" style="2"/>
    <col min="2817" max="2817" width="13.375" style="2" customWidth="1"/>
    <col min="2818" max="2818" width="2.125" style="2" customWidth="1"/>
    <col min="2819" max="2819" width="15.875" style="2" customWidth="1"/>
    <col min="2820" max="2823" width="10.875" style="2"/>
    <col min="2824" max="2829" width="12.125" style="2" customWidth="1"/>
    <col min="2830" max="2902" width="10.875" style="2"/>
    <col min="2903" max="2954" width="13.375" style="2" customWidth="1"/>
    <col min="2955" max="3072" width="10.875" style="2"/>
    <col min="3073" max="3073" width="13.375" style="2" customWidth="1"/>
    <col min="3074" max="3074" width="2.125" style="2" customWidth="1"/>
    <col min="3075" max="3075" width="15.875" style="2" customWidth="1"/>
    <col min="3076" max="3079" width="10.875" style="2"/>
    <col min="3080" max="3085" width="12.125" style="2" customWidth="1"/>
    <col min="3086" max="3158" width="10.875" style="2"/>
    <col min="3159" max="3210" width="13.375" style="2" customWidth="1"/>
    <col min="3211" max="3328" width="10.875" style="2"/>
    <col min="3329" max="3329" width="13.375" style="2" customWidth="1"/>
    <col min="3330" max="3330" width="2.125" style="2" customWidth="1"/>
    <col min="3331" max="3331" width="15.875" style="2" customWidth="1"/>
    <col min="3332" max="3335" width="10.875" style="2"/>
    <col min="3336" max="3341" width="12.125" style="2" customWidth="1"/>
    <col min="3342" max="3414" width="10.875" style="2"/>
    <col min="3415" max="3466" width="13.375" style="2" customWidth="1"/>
    <col min="3467" max="3584" width="10.875" style="2"/>
    <col min="3585" max="3585" width="13.375" style="2" customWidth="1"/>
    <col min="3586" max="3586" width="2.125" style="2" customWidth="1"/>
    <col min="3587" max="3587" width="15.875" style="2" customWidth="1"/>
    <col min="3588" max="3591" width="10.875" style="2"/>
    <col min="3592" max="3597" width="12.125" style="2" customWidth="1"/>
    <col min="3598" max="3670" width="10.875" style="2"/>
    <col min="3671" max="3722" width="13.375" style="2" customWidth="1"/>
    <col min="3723" max="3840" width="10.875" style="2"/>
    <col min="3841" max="3841" width="13.375" style="2" customWidth="1"/>
    <col min="3842" max="3842" width="2.125" style="2" customWidth="1"/>
    <col min="3843" max="3843" width="15.875" style="2" customWidth="1"/>
    <col min="3844" max="3847" width="10.875" style="2"/>
    <col min="3848" max="3853" width="12.125" style="2" customWidth="1"/>
    <col min="3854" max="3926" width="10.875" style="2"/>
    <col min="3927" max="3978" width="13.375" style="2" customWidth="1"/>
    <col min="3979" max="4096" width="10.875" style="2"/>
    <col min="4097" max="4097" width="13.375" style="2" customWidth="1"/>
    <col min="4098" max="4098" width="2.125" style="2" customWidth="1"/>
    <col min="4099" max="4099" width="15.875" style="2" customWidth="1"/>
    <col min="4100" max="4103" width="10.875" style="2"/>
    <col min="4104" max="4109" width="12.125" style="2" customWidth="1"/>
    <col min="4110" max="4182" width="10.875" style="2"/>
    <col min="4183" max="4234" width="13.375" style="2" customWidth="1"/>
    <col min="4235" max="4352" width="10.875" style="2"/>
    <col min="4353" max="4353" width="13.375" style="2" customWidth="1"/>
    <col min="4354" max="4354" width="2.125" style="2" customWidth="1"/>
    <col min="4355" max="4355" width="15.875" style="2" customWidth="1"/>
    <col min="4356" max="4359" width="10.875" style="2"/>
    <col min="4360" max="4365" width="12.125" style="2" customWidth="1"/>
    <col min="4366" max="4438" width="10.875" style="2"/>
    <col min="4439" max="4490" width="13.375" style="2" customWidth="1"/>
    <col min="4491" max="4608" width="10.875" style="2"/>
    <col min="4609" max="4609" width="13.375" style="2" customWidth="1"/>
    <col min="4610" max="4610" width="2.125" style="2" customWidth="1"/>
    <col min="4611" max="4611" width="15.875" style="2" customWidth="1"/>
    <col min="4612" max="4615" width="10.875" style="2"/>
    <col min="4616" max="4621" width="12.125" style="2" customWidth="1"/>
    <col min="4622" max="4694" width="10.875" style="2"/>
    <col min="4695" max="4746" width="13.375" style="2" customWidth="1"/>
    <col min="4747" max="4864" width="10.875" style="2"/>
    <col min="4865" max="4865" width="13.375" style="2" customWidth="1"/>
    <col min="4866" max="4866" width="2.125" style="2" customWidth="1"/>
    <col min="4867" max="4867" width="15.875" style="2" customWidth="1"/>
    <col min="4868" max="4871" width="10.875" style="2"/>
    <col min="4872" max="4877" width="12.125" style="2" customWidth="1"/>
    <col min="4878" max="4950" width="10.875" style="2"/>
    <col min="4951" max="5002" width="13.375" style="2" customWidth="1"/>
    <col min="5003" max="5120" width="10.875" style="2"/>
    <col min="5121" max="5121" width="13.375" style="2" customWidth="1"/>
    <col min="5122" max="5122" width="2.125" style="2" customWidth="1"/>
    <col min="5123" max="5123" width="15.875" style="2" customWidth="1"/>
    <col min="5124" max="5127" width="10.875" style="2"/>
    <col min="5128" max="5133" width="12.125" style="2" customWidth="1"/>
    <col min="5134" max="5206" width="10.875" style="2"/>
    <col min="5207" max="5258" width="13.375" style="2" customWidth="1"/>
    <col min="5259" max="5376" width="10.875" style="2"/>
    <col min="5377" max="5377" width="13.375" style="2" customWidth="1"/>
    <col min="5378" max="5378" width="2.125" style="2" customWidth="1"/>
    <col min="5379" max="5379" width="15.875" style="2" customWidth="1"/>
    <col min="5380" max="5383" width="10.875" style="2"/>
    <col min="5384" max="5389" width="12.125" style="2" customWidth="1"/>
    <col min="5390" max="5462" width="10.875" style="2"/>
    <col min="5463" max="5514" width="13.375" style="2" customWidth="1"/>
    <col min="5515" max="5632" width="10.875" style="2"/>
    <col min="5633" max="5633" width="13.375" style="2" customWidth="1"/>
    <col min="5634" max="5634" width="2.125" style="2" customWidth="1"/>
    <col min="5635" max="5635" width="15.875" style="2" customWidth="1"/>
    <col min="5636" max="5639" width="10.875" style="2"/>
    <col min="5640" max="5645" width="12.125" style="2" customWidth="1"/>
    <col min="5646" max="5718" width="10.875" style="2"/>
    <col min="5719" max="5770" width="13.375" style="2" customWidth="1"/>
    <col min="5771" max="5888" width="10.875" style="2"/>
    <col min="5889" max="5889" width="13.375" style="2" customWidth="1"/>
    <col min="5890" max="5890" width="2.125" style="2" customWidth="1"/>
    <col min="5891" max="5891" width="15.875" style="2" customWidth="1"/>
    <col min="5892" max="5895" width="10.875" style="2"/>
    <col min="5896" max="5901" width="12.125" style="2" customWidth="1"/>
    <col min="5902" max="5974" width="10.875" style="2"/>
    <col min="5975" max="6026" width="13.375" style="2" customWidth="1"/>
    <col min="6027" max="6144" width="10.875" style="2"/>
    <col min="6145" max="6145" width="13.375" style="2" customWidth="1"/>
    <col min="6146" max="6146" width="2.125" style="2" customWidth="1"/>
    <col min="6147" max="6147" width="15.875" style="2" customWidth="1"/>
    <col min="6148" max="6151" width="10.875" style="2"/>
    <col min="6152" max="6157" width="12.125" style="2" customWidth="1"/>
    <col min="6158" max="6230" width="10.875" style="2"/>
    <col min="6231" max="6282" width="13.375" style="2" customWidth="1"/>
    <col min="6283" max="6400" width="10.875" style="2"/>
    <col min="6401" max="6401" width="13.375" style="2" customWidth="1"/>
    <col min="6402" max="6402" width="2.125" style="2" customWidth="1"/>
    <col min="6403" max="6403" width="15.875" style="2" customWidth="1"/>
    <col min="6404" max="6407" width="10.875" style="2"/>
    <col min="6408" max="6413" width="12.125" style="2" customWidth="1"/>
    <col min="6414" max="6486" width="10.875" style="2"/>
    <col min="6487" max="6538" width="13.375" style="2" customWidth="1"/>
    <col min="6539" max="6656" width="10.875" style="2"/>
    <col min="6657" max="6657" width="13.375" style="2" customWidth="1"/>
    <col min="6658" max="6658" width="2.125" style="2" customWidth="1"/>
    <col min="6659" max="6659" width="15.875" style="2" customWidth="1"/>
    <col min="6660" max="6663" width="10.875" style="2"/>
    <col min="6664" max="6669" width="12.125" style="2" customWidth="1"/>
    <col min="6670" max="6742" width="10.875" style="2"/>
    <col min="6743" max="6794" width="13.375" style="2" customWidth="1"/>
    <col min="6795" max="6912" width="10.875" style="2"/>
    <col min="6913" max="6913" width="13.375" style="2" customWidth="1"/>
    <col min="6914" max="6914" width="2.125" style="2" customWidth="1"/>
    <col min="6915" max="6915" width="15.875" style="2" customWidth="1"/>
    <col min="6916" max="6919" width="10.875" style="2"/>
    <col min="6920" max="6925" width="12.125" style="2" customWidth="1"/>
    <col min="6926" max="6998" width="10.875" style="2"/>
    <col min="6999" max="7050" width="13.375" style="2" customWidth="1"/>
    <col min="7051" max="7168" width="10.875" style="2"/>
    <col min="7169" max="7169" width="13.375" style="2" customWidth="1"/>
    <col min="7170" max="7170" width="2.125" style="2" customWidth="1"/>
    <col min="7171" max="7171" width="15.875" style="2" customWidth="1"/>
    <col min="7172" max="7175" width="10.875" style="2"/>
    <col min="7176" max="7181" width="12.125" style="2" customWidth="1"/>
    <col min="7182" max="7254" width="10.875" style="2"/>
    <col min="7255" max="7306" width="13.375" style="2" customWidth="1"/>
    <col min="7307" max="7424" width="10.875" style="2"/>
    <col min="7425" max="7425" width="13.375" style="2" customWidth="1"/>
    <col min="7426" max="7426" width="2.125" style="2" customWidth="1"/>
    <col min="7427" max="7427" width="15.875" style="2" customWidth="1"/>
    <col min="7428" max="7431" width="10.875" style="2"/>
    <col min="7432" max="7437" width="12.125" style="2" customWidth="1"/>
    <col min="7438" max="7510" width="10.875" style="2"/>
    <col min="7511" max="7562" width="13.375" style="2" customWidth="1"/>
    <col min="7563" max="7680" width="10.875" style="2"/>
    <col min="7681" max="7681" width="13.375" style="2" customWidth="1"/>
    <col min="7682" max="7682" width="2.125" style="2" customWidth="1"/>
    <col min="7683" max="7683" width="15.875" style="2" customWidth="1"/>
    <col min="7684" max="7687" width="10.875" style="2"/>
    <col min="7688" max="7693" width="12.125" style="2" customWidth="1"/>
    <col min="7694" max="7766" width="10.875" style="2"/>
    <col min="7767" max="7818" width="13.375" style="2" customWidth="1"/>
    <col min="7819" max="7936" width="10.875" style="2"/>
    <col min="7937" max="7937" width="13.375" style="2" customWidth="1"/>
    <col min="7938" max="7938" width="2.125" style="2" customWidth="1"/>
    <col min="7939" max="7939" width="15.875" style="2" customWidth="1"/>
    <col min="7940" max="7943" width="10.875" style="2"/>
    <col min="7944" max="7949" width="12.125" style="2" customWidth="1"/>
    <col min="7950" max="8022" width="10.875" style="2"/>
    <col min="8023" max="8074" width="13.375" style="2" customWidth="1"/>
    <col min="8075" max="8192" width="10.875" style="2"/>
    <col min="8193" max="8193" width="13.375" style="2" customWidth="1"/>
    <col min="8194" max="8194" width="2.125" style="2" customWidth="1"/>
    <col min="8195" max="8195" width="15.875" style="2" customWidth="1"/>
    <col min="8196" max="8199" width="10.875" style="2"/>
    <col min="8200" max="8205" width="12.125" style="2" customWidth="1"/>
    <col min="8206" max="8278" width="10.875" style="2"/>
    <col min="8279" max="8330" width="13.375" style="2" customWidth="1"/>
    <col min="8331" max="8448" width="10.875" style="2"/>
    <col min="8449" max="8449" width="13.375" style="2" customWidth="1"/>
    <col min="8450" max="8450" width="2.125" style="2" customWidth="1"/>
    <col min="8451" max="8451" width="15.875" style="2" customWidth="1"/>
    <col min="8452" max="8455" width="10.875" style="2"/>
    <col min="8456" max="8461" width="12.125" style="2" customWidth="1"/>
    <col min="8462" max="8534" width="10.875" style="2"/>
    <col min="8535" max="8586" width="13.375" style="2" customWidth="1"/>
    <col min="8587" max="8704" width="10.875" style="2"/>
    <col min="8705" max="8705" width="13.375" style="2" customWidth="1"/>
    <col min="8706" max="8706" width="2.125" style="2" customWidth="1"/>
    <col min="8707" max="8707" width="15.875" style="2" customWidth="1"/>
    <col min="8708" max="8711" width="10.875" style="2"/>
    <col min="8712" max="8717" width="12.125" style="2" customWidth="1"/>
    <col min="8718" max="8790" width="10.875" style="2"/>
    <col min="8791" max="8842" width="13.375" style="2" customWidth="1"/>
    <col min="8843" max="8960" width="10.875" style="2"/>
    <col min="8961" max="8961" width="13.375" style="2" customWidth="1"/>
    <col min="8962" max="8962" width="2.125" style="2" customWidth="1"/>
    <col min="8963" max="8963" width="15.875" style="2" customWidth="1"/>
    <col min="8964" max="8967" width="10.875" style="2"/>
    <col min="8968" max="8973" width="12.125" style="2" customWidth="1"/>
    <col min="8974" max="9046" width="10.875" style="2"/>
    <col min="9047" max="9098" width="13.375" style="2" customWidth="1"/>
    <col min="9099" max="9216" width="10.875" style="2"/>
    <col min="9217" max="9217" width="13.375" style="2" customWidth="1"/>
    <col min="9218" max="9218" width="2.125" style="2" customWidth="1"/>
    <col min="9219" max="9219" width="15.875" style="2" customWidth="1"/>
    <col min="9220" max="9223" width="10.875" style="2"/>
    <col min="9224" max="9229" width="12.125" style="2" customWidth="1"/>
    <col min="9230" max="9302" width="10.875" style="2"/>
    <col min="9303" max="9354" width="13.375" style="2" customWidth="1"/>
    <col min="9355" max="9472" width="10.875" style="2"/>
    <col min="9473" max="9473" width="13.375" style="2" customWidth="1"/>
    <col min="9474" max="9474" width="2.125" style="2" customWidth="1"/>
    <col min="9475" max="9475" width="15.875" style="2" customWidth="1"/>
    <col min="9476" max="9479" width="10.875" style="2"/>
    <col min="9480" max="9485" width="12.125" style="2" customWidth="1"/>
    <col min="9486" max="9558" width="10.875" style="2"/>
    <col min="9559" max="9610" width="13.375" style="2" customWidth="1"/>
    <col min="9611" max="9728" width="10.875" style="2"/>
    <col min="9729" max="9729" width="13.375" style="2" customWidth="1"/>
    <col min="9730" max="9730" width="2.125" style="2" customWidth="1"/>
    <col min="9731" max="9731" width="15.875" style="2" customWidth="1"/>
    <col min="9732" max="9735" width="10.875" style="2"/>
    <col min="9736" max="9741" width="12.125" style="2" customWidth="1"/>
    <col min="9742" max="9814" width="10.875" style="2"/>
    <col min="9815" max="9866" width="13.375" style="2" customWidth="1"/>
    <col min="9867" max="9984" width="10.875" style="2"/>
    <col min="9985" max="9985" width="13.375" style="2" customWidth="1"/>
    <col min="9986" max="9986" width="2.125" style="2" customWidth="1"/>
    <col min="9987" max="9987" width="15.875" style="2" customWidth="1"/>
    <col min="9988" max="9991" width="10.875" style="2"/>
    <col min="9992" max="9997" width="12.125" style="2" customWidth="1"/>
    <col min="9998" max="10070" width="10.875" style="2"/>
    <col min="10071" max="10122" width="13.375" style="2" customWidth="1"/>
    <col min="10123" max="10240" width="10.875" style="2"/>
    <col min="10241" max="10241" width="13.375" style="2" customWidth="1"/>
    <col min="10242" max="10242" width="2.125" style="2" customWidth="1"/>
    <col min="10243" max="10243" width="15.875" style="2" customWidth="1"/>
    <col min="10244" max="10247" width="10.875" style="2"/>
    <col min="10248" max="10253" width="12.125" style="2" customWidth="1"/>
    <col min="10254" max="10326" width="10.875" style="2"/>
    <col min="10327" max="10378" width="13.375" style="2" customWidth="1"/>
    <col min="10379" max="10496" width="10.875" style="2"/>
    <col min="10497" max="10497" width="13.375" style="2" customWidth="1"/>
    <col min="10498" max="10498" width="2.125" style="2" customWidth="1"/>
    <col min="10499" max="10499" width="15.875" style="2" customWidth="1"/>
    <col min="10500" max="10503" width="10.875" style="2"/>
    <col min="10504" max="10509" width="12.125" style="2" customWidth="1"/>
    <col min="10510" max="10582" width="10.875" style="2"/>
    <col min="10583" max="10634" width="13.375" style="2" customWidth="1"/>
    <col min="10635" max="10752" width="10.875" style="2"/>
    <col min="10753" max="10753" width="13.375" style="2" customWidth="1"/>
    <col min="10754" max="10754" width="2.125" style="2" customWidth="1"/>
    <col min="10755" max="10755" width="15.875" style="2" customWidth="1"/>
    <col min="10756" max="10759" width="10.875" style="2"/>
    <col min="10760" max="10765" width="12.125" style="2" customWidth="1"/>
    <col min="10766" max="10838" width="10.875" style="2"/>
    <col min="10839" max="10890" width="13.375" style="2" customWidth="1"/>
    <col min="10891" max="11008" width="10.875" style="2"/>
    <col min="11009" max="11009" width="13.375" style="2" customWidth="1"/>
    <col min="11010" max="11010" width="2.125" style="2" customWidth="1"/>
    <col min="11011" max="11011" width="15.875" style="2" customWidth="1"/>
    <col min="11012" max="11015" width="10.875" style="2"/>
    <col min="11016" max="11021" width="12.125" style="2" customWidth="1"/>
    <col min="11022" max="11094" width="10.875" style="2"/>
    <col min="11095" max="11146" width="13.375" style="2" customWidth="1"/>
    <col min="11147" max="11264" width="10.875" style="2"/>
    <col min="11265" max="11265" width="13.375" style="2" customWidth="1"/>
    <col min="11266" max="11266" width="2.125" style="2" customWidth="1"/>
    <col min="11267" max="11267" width="15.875" style="2" customWidth="1"/>
    <col min="11268" max="11271" width="10.875" style="2"/>
    <col min="11272" max="11277" width="12.125" style="2" customWidth="1"/>
    <col min="11278" max="11350" width="10.875" style="2"/>
    <col min="11351" max="11402" width="13.375" style="2" customWidth="1"/>
    <col min="11403" max="11520" width="10.875" style="2"/>
    <col min="11521" max="11521" width="13.375" style="2" customWidth="1"/>
    <col min="11522" max="11522" width="2.125" style="2" customWidth="1"/>
    <col min="11523" max="11523" width="15.875" style="2" customWidth="1"/>
    <col min="11524" max="11527" width="10.875" style="2"/>
    <col min="11528" max="11533" width="12.125" style="2" customWidth="1"/>
    <col min="11534" max="11606" width="10.875" style="2"/>
    <col min="11607" max="11658" width="13.375" style="2" customWidth="1"/>
    <col min="11659" max="11776" width="10.875" style="2"/>
    <col min="11777" max="11777" width="13.375" style="2" customWidth="1"/>
    <col min="11778" max="11778" width="2.125" style="2" customWidth="1"/>
    <col min="11779" max="11779" width="15.875" style="2" customWidth="1"/>
    <col min="11780" max="11783" width="10.875" style="2"/>
    <col min="11784" max="11789" width="12.125" style="2" customWidth="1"/>
    <col min="11790" max="11862" width="10.875" style="2"/>
    <col min="11863" max="11914" width="13.375" style="2" customWidth="1"/>
    <col min="11915" max="12032" width="10.875" style="2"/>
    <col min="12033" max="12033" width="13.375" style="2" customWidth="1"/>
    <col min="12034" max="12034" width="2.125" style="2" customWidth="1"/>
    <col min="12035" max="12035" width="15.875" style="2" customWidth="1"/>
    <col min="12036" max="12039" width="10.875" style="2"/>
    <col min="12040" max="12045" width="12.125" style="2" customWidth="1"/>
    <col min="12046" max="12118" width="10.875" style="2"/>
    <col min="12119" max="12170" width="13.375" style="2" customWidth="1"/>
    <col min="12171" max="12288" width="10.875" style="2"/>
    <col min="12289" max="12289" width="13.375" style="2" customWidth="1"/>
    <col min="12290" max="12290" width="2.125" style="2" customWidth="1"/>
    <col min="12291" max="12291" width="15.875" style="2" customWidth="1"/>
    <col min="12292" max="12295" width="10.875" style="2"/>
    <col min="12296" max="12301" width="12.125" style="2" customWidth="1"/>
    <col min="12302" max="12374" width="10.875" style="2"/>
    <col min="12375" max="12426" width="13.375" style="2" customWidth="1"/>
    <col min="12427" max="12544" width="10.875" style="2"/>
    <col min="12545" max="12545" width="13.375" style="2" customWidth="1"/>
    <col min="12546" max="12546" width="2.125" style="2" customWidth="1"/>
    <col min="12547" max="12547" width="15.875" style="2" customWidth="1"/>
    <col min="12548" max="12551" width="10.875" style="2"/>
    <col min="12552" max="12557" width="12.125" style="2" customWidth="1"/>
    <col min="12558" max="12630" width="10.875" style="2"/>
    <col min="12631" max="12682" width="13.375" style="2" customWidth="1"/>
    <col min="12683" max="12800" width="10.875" style="2"/>
    <col min="12801" max="12801" width="13.375" style="2" customWidth="1"/>
    <col min="12802" max="12802" width="2.125" style="2" customWidth="1"/>
    <col min="12803" max="12803" width="15.875" style="2" customWidth="1"/>
    <col min="12804" max="12807" width="10.875" style="2"/>
    <col min="12808" max="12813" width="12.125" style="2" customWidth="1"/>
    <col min="12814" max="12886" width="10.875" style="2"/>
    <col min="12887" max="12938" width="13.375" style="2" customWidth="1"/>
    <col min="12939" max="13056" width="10.875" style="2"/>
    <col min="13057" max="13057" width="13.375" style="2" customWidth="1"/>
    <col min="13058" max="13058" width="2.125" style="2" customWidth="1"/>
    <col min="13059" max="13059" width="15.875" style="2" customWidth="1"/>
    <col min="13060" max="13063" width="10.875" style="2"/>
    <col min="13064" max="13069" width="12.125" style="2" customWidth="1"/>
    <col min="13070" max="13142" width="10.875" style="2"/>
    <col min="13143" max="13194" width="13.375" style="2" customWidth="1"/>
    <col min="13195" max="13312" width="10.875" style="2"/>
    <col min="13313" max="13313" width="13.375" style="2" customWidth="1"/>
    <col min="13314" max="13314" width="2.125" style="2" customWidth="1"/>
    <col min="13315" max="13315" width="15.875" style="2" customWidth="1"/>
    <col min="13316" max="13319" width="10.875" style="2"/>
    <col min="13320" max="13325" width="12.125" style="2" customWidth="1"/>
    <col min="13326" max="13398" width="10.875" style="2"/>
    <col min="13399" max="13450" width="13.375" style="2" customWidth="1"/>
    <col min="13451" max="13568" width="10.875" style="2"/>
    <col min="13569" max="13569" width="13.375" style="2" customWidth="1"/>
    <col min="13570" max="13570" width="2.125" style="2" customWidth="1"/>
    <col min="13571" max="13571" width="15.875" style="2" customWidth="1"/>
    <col min="13572" max="13575" width="10.875" style="2"/>
    <col min="13576" max="13581" width="12.125" style="2" customWidth="1"/>
    <col min="13582" max="13654" width="10.875" style="2"/>
    <col min="13655" max="13706" width="13.375" style="2" customWidth="1"/>
    <col min="13707" max="13824" width="10.875" style="2"/>
    <col min="13825" max="13825" width="13.375" style="2" customWidth="1"/>
    <col min="13826" max="13826" width="2.125" style="2" customWidth="1"/>
    <col min="13827" max="13827" width="15.875" style="2" customWidth="1"/>
    <col min="13828" max="13831" width="10.875" style="2"/>
    <col min="13832" max="13837" width="12.125" style="2" customWidth="1"/>
    <col min="13838" max="13910" width="10.875" style="2"/>
    <col min="13911" max="13962" width="13.375" style="2" customWidth="1"/>
    <col min="13963" max="14080" width="10.875" style="2"/>
    <col min="14081" max="14081" width="13.375" style="2" customWidth="1"/>
    <col min="14082" max="14082" width="2.125" style="2" customWidth="1"/>
    <col min="14083" max="14083" width="15.875" style="2" customWidth="1"/>
    <col min="14084" max="14087" width="10.875" style="2"/>
    <col min="14088" max="14093" width="12.125" style="2" customWidth="1"/>
    <col min="14094" max="14166" width="10.875" style="2"/>
    <col min="14167" max="14218" width="13.375" style="2" customWidth="1"/>
    <col min="14219" max="14336" width="10.875" style="2"/>
    <col min="14337" max="14337" width="13.375" style="2" customWidth="1"/>
    <col min="14338" max="14338" width="2.125" style="2" customWidth="1"/>
    <col min="14339" max="14339" width="15.875" style="2" customWidth="1"/>
    <col min="14340" max="14343" width="10.875" style="2"/>
    <col min="14344" max="14349" width="12.125" style="2" customWidth="1"/>
    <col min="14350" max="14422" width="10.875" style="2"/>
    <col min="14423" max="14474" width="13.375" style="2" customWidth="1"/>
    <col min="14475" max="14592" width="10.875" style="2"/>
    <col min="14593" max="14593" width="13.375" style="2" customWidth="1"/>
    <col min="14594" max="14594" width="2.125" style="2" customWidth="1"/>
    <col min="14595" max="14595" width="15.875" style="2" customWidth="1"/>
    <col min="14596" max="14599" width="10.875" style="2"/>
    <col min="14600" max="14605" width="12.125" style="2" customWidth="1"/>
    <col min="14606" max="14678" width="10.875" style="2"/>
    <col min="14679" max="14730" width="13.375" style="2" customWidth="1"/>
    <col min="14731" max="14848" width="10.875" style="2"/>
    <col min="14849" max="14849" width="13.375" style="2" customWidth="1"/>
    <col min="14850" max="14850" width="2.125" style="2" customWidth="1"/>
    <col min="14851" max="14851" width="15.875" style="2" customWidth="1"/>
    <col min="14852" max="14855" width="10.875" style="2"/>
    <col min="14856" max="14861" width="12.125" style="2" customWidth="1"/>
    <col min="14862" max="14934" width="10.875" style="2"/>
    <col min="14935" max="14986" width="13.375" style="2" customWidth="1"/>
    <col min="14987" max="15104" width="10.875" style="2"/>
    <col min="15105" max="15105" width="13.375" style="2" customWidth="1"/>
    <col min="15106" max="15106" width="2.125" style="2" customWidth="1"/>
    <col min="15107" max="15107" width="15.875" style="2" customWidth="1"/>
    <col min="15108" max="15111" width="10.875" style="2"/>
    <col min="15112" max="15117" width="12.125" style="2" customWidth="1"/>
    <col min="15118" max="15190" width="10.875" style="2"/>
    <col min="15191" max="15242" width="13.375" style="2" customWidth="1"/>
    <col min="15243" max="15360" width="10.875" style="2"/>
    <col min="15361" max="15361" width="13.375" style="2" customWidth="1"/>
    <col min="15362" max="15362" width="2.125" style="2" customWidth="1"/>
    <col min="15363" max="15363" width="15.875" style="2" customWidth="1"/>
    <col min="15364" max="15367" width="10.875" style="2"/>
    <col min="15368" max="15373" width="12.125" style="2" customWidth="1"/>
    <col min="15374" max="15446" width="10.875" style="2"/>
    <col min="15447" max="15498" width="13.375" style="2" customWidth="1"/>
    <col min="15499" max="15616" width="10.875" style="2"/>
    <col min="15617" max="15617" width="13.375" style="2" customWidth="1"/>
    <col min="15618" max="15618" width="2.125" style="2" customWidth="1"/>
    <col min="15619" max="15619" width="15.875" style="2" customWidth="1"/>
    <col min="15620" max="15623" width="10.875" style="2"/>
    <col min="15624" max="15629" width="12.125" style="2" customWidth="1"/>
    <col min="15630" max="15702" width="10.875" style="2"/>
    <col min="15703" max="15754" width="13.375" style="2" customWidth="1"/>
    <col min="15755" max="15872" width="10.875" style="2"/>
    <col min="15873" max="15873" width="13.375" style="2" customWidth="1"/>
    <col min="15874" max="15874" width="2.125" style="2" customWidth="1"/>
    <col min="15875" max="15875" width="15.875" style="2" customWidth="1"/>
    <col min="15876" max="15879" width="10.875" style="2"/>
    <col min="15880" max="15885" width="12.125" style="2" customWidth="1"/>
    <col min="15886" max="15958" width="10.875" style="2"/>
    <col min="15959" max="16010" width="13.375" style="2" customWidth="1"/>
    <col min="16011" max="16128" width="10.875" style="2"/>
    <col min="16129" max="16129" width="13.375" style="2" customWidth="1"/>
    <col min="16130" max="16130" width="2.125" style="2" customWidth="1"/>
    <col min="16131" max="16131" width="15.875" style="2" customWidth="1"/>
    <col min="16132" max="16135" width="10.875" style="2"/>
    <col min="16136" max="16141" width="12.125" style="2" customWidth="1"/>
    <col min="16142" max="16214" width="10.875" style="2"/>
    <col min="16215" max="16266" width="13.375" style="2" customWidth="1"/>
    <col min="16267" max="16384" width="10.875" style="2"/>
  </cols>
  <sheetData>
    <row r="1" spans="1:14" x14ac:dyDescent="0.2">
      <c r="A1" s="1"/>
    </row>
    <row r="6" spans="1:14" x14ac:dyDescent="0.2">
      <c r="F6" s="4" t="s">
        <v>610</v>
      </c>
      <c r="M6" s="3"/>
    </row>
    <row r="7" spans="1:14" ht="18" thickBot="1" x14ac:dyDescent="0.25">
      <c r="B7" s="6"/>
      <c r="C7" s="6"/>
      <c r="D7" s="6"/>
      <c r="E7" s="6"/>
      <c r="F7" s="6"/>
      <c r="G7" s="7" t="s">
        <v>611</v>
      </c>
      <c r="H7" s="6"/>
      <c r="I7" s="6"/>
      <c r="J7" s="6"/>
      <c r="K7" s="6"/>
      <c r="L7" s="6"/>
      <c r="M7" s="6"/>
      <c r="N7" s="3"/>
    </row>
    <row r="8" spans="1:14" x14ac:dyDescent="0.2">
      <c r="D8" s="14"/>
      <c r="E8" s="31" t="s">
        <v>612</v>
      </c>
      <c r="F8" s="12"/>
      <c r="G8" s="12"/>
      <c r="H8" s="14"/>
      <c r="I8" s="12"/>
      <c r="J8" s="31" t="s">
        <v>613</v>
      </c>
      <c r="K8" s="12"/>
      <c r="L8" s="12"/>
      <c r="M8" s="12"/>
      <c r="N8" s="3"/>
    </row>
    <row r="9" spans="1:14" x14ac:dyDescent="0.2">
      <c r="D9" s="10"/>
      <c r="E9" s="13" t="s">
        <v>571</v>
      </c>
      <c r="F9" s="12"/>
      <c r="G9" s="13" t="s">
        <v>572</v>
      </c>
      <c r="H9" s="10"/>
      <c r="I9" s="12"/>
      <c r="J9" s="31" t="s">
        <v>10</v>
      </c>
      <c r="K9" s="12"/>
      <c r="L9" s="31" t="s">
        <v>18</v>
      </c>
      <c r="M9" s="13" t="s">
        <v>571</v>
      </c>
      <c r="N9" s="3"/>
    </row>
    <row r="10" spans="1:14" x14ac:dyDescent="0.2">
      <c r="B10" s="12"/>
      <c r="C10" s="31" t="s">
        <v>229</v>
      </c>
      <c r="D10" s="29" t="s">
        <v>614</v>
      </c>
      <c r="E10" s="29" t="s">
        <v>11</v>
      </c>
      <c r="F10" s="29" t="s">
        <v>615</v>
      </c>
      <c r="G10" s="29" t="s">
        <v>11</v>
      </c>
      <c r="H10" s="29" t="s">
        <v>616</v>
      </c>
      <c r="I10" s="17" t="s">
        <v>617</v>
      </c>
      <c r="J10" s="17" t="s">
        <v>618</v>
      </c>
      <c r="K10" s="17" t="s">
        <v>619</v>
      </c>
      <c r="L10" s="17" t="s">
        <v>620</v>
      </c>
      <c r="M10" s="29" t="s">
        <v>11</v>
      </c>
      <c r="N10" s="3"/>
    </row>
    <row r="11" spans="1:14" x14ac:dyDescent="0.2">
      <c r="D11" s="10"/>
      <c r="H11" s="44" t="s">
        <v>580</v>
      </c>
      <c r="I11" s="44" t="s">
        <v>580</v>
      </c>
      <c r="J11" s="44" t="s">
        <v>580</v>
      </c>
      <c r="K11" s="44" t="s">
        <v>580</v>
      </c>
      <c r="L11" s="44" t="s">
        <v>580</v>
      </c>
      <c r="M11" s="44" t="s">
        <v>580</v>
      </c>
      <c r="N11" s="3"/>
    </row>
    <row r="12" spans="1:14" x14ac:dyDescent="0.2">
      <c r="B12" s="4" t="s">
        <v>621</v>
      </c>
      <c r="D12" s="20">
        <f t="shared" ref="D12:M12" si="0">SUM(D14:D70)</f>
        <v>95</v>
      </c>
      <c r="E12" s="21">
        <f t="shared" si="0"/>
        <v>1007</v>
      </c>
      <c r="F12" s="21">
        <f t="shared" si="0"/>
        <v>249</v>
      </c>
      <c r="G12" s="21">
        <f t="shared" si="0"/>
        <v>546</v>
      </c>
      <c r="H12" s="21">
        <f t="shared" si="0"/>
        <v>15395</v>
      </c>
      <c r="I12" s="21">
        <f t="shared" si="0"/>
        <v>2930</v>
      </c>
      <c r="J12" s="21">
        <f t="shared" si="0"/>
        <v>456</v>
      </c>
      <c r="K12" s="21">
        <f t="shared" si="0"/>
        <v>171</v>
      </c>
      <c r="L12" s="21">
        <f t="shared" si="0"/>
        <v>11838</v>
      </c>
      <c r="M12" s="21">
        <f t="shared" si="0"/>
        <v>2866</v>
      </c>
      <c r="N12" s="3"/>
    </row>
    <row r="13" spans="1:14" x14ac:dyDescent="0.2">
      <c r="D13" s="28"/>
      <c r="E13" s="5"/>
      <c r="F13" s="5"/>
      <c r="G13" s="5"/>
      <c r="N13" s="3"/>
    </row>
    <row r="14" spans="1:14" x14ac:dyDescent="0.2">
      <c r="C14" s="1" t="s">
        <v>239</v>
      </c>
      <c r="D14" s="28">
        <v>45</v>
      </c>
      <c r="E14" s="5">
        <v>430</v>
      </c>
      <c r="F14" s="5">
        <v>95</v>
      </c>
      <c r="G14" s="5">
        <v>237</v>
      </c>
      <c r="H14" s="43">
        <f t="shared" ref="H14:H20" si="1">I14+J14+K14+L14</f>
        <v>7199</v>
      </c>
      <c r="I14" s="5">
        <v>1179</v>
      </c>
      <c r="J14" s="5">
        <v>143</v>
      </c>
      <c r="K14" s="5">
        <v>64</v>
      </c>
      <c r="L14" s="5">
        <v>5813</v>
      </c>
      <c r="M14" s="5">
        <v>1056</v>
      </c>
      <c r="N14" s="3"/>
    </row>
    <row r="15" spans="1:14" x14ac:dyDescent="0.2">
      <c r="C15" s="1" t="s">
        <v>240</v>
      </c>
      <c r="D15" s="28">
        <v>6</v>
      </c>
      <c r="E15" s="5">
        <v>45</v>
      </c>
      <c r="F15" s="5">
        <v>10</v>
      </c>
      <c r="G15" s="5">
        <v>31</v>
      </c>
      <c r="H15" s="43">
        <f t="shared" si="1"/>
        <v>550</v>
      </c>
      <c r="I15" s="35" t="s">
        <v>52</v>
      </c>
      <c r="J15" s="5">
        <v>37</v>
      </c>
      <c r="K15" s="35" t="s">
        <v>52</v>
      </c>
      <c r="L15" s="5">
        <v>513</v>
      </c>
      <c r="M15" s="5">
        <v>120</v>
      </c>
      <c r="N15" s="3"/>
    </row>
    <row r="16" spans="1:14" x14ac:dyDescent="0.2">
      <c r="C16" s="1" t="s">
        <v>241</v>
      </c>
      <c r="D16" s="28">
        <v>3</v>
      </c>
      <c r="E16" s="5">
        <v>39</v>
      </c>
      <c r="F16" s="5">
        <v>8</v>
      </c>
      <c r="G16" s="5">
        <v>19</v>
      </c>
      <c r="H16" s="43">
        <f t="shared" si="1"/>
        <v>512</v>
      </c>
      <c r="I16" s="35" t="s">
        <v>52</v>
      </c>
      <c r="J16" s="35" t="s">
        <v>52</v>
      </c>
      <c r="K16" s="35" t="s">
        <v>52</v>
      </c>
      <c r="L16" s="5">
        <v>512</v>
      </c>
      <c r="M16" s="5">
        <v>111</v>
      </c>
      <c r="N16" s="3"/>
    </row>
    <row r="17" spans="3:14" x14ac:dyDescent="0.2">
      <c r="C17" s="1" t="s">
        <v>242</v>
      </c>
      <c r="D17" s="28">
        <v>2</v>
      </c>
      <c r="E17" s="5">
        <v>26</v>
      </c>
      <c r="F17" s="5">
        <v>7</v>
      </c>
      <c r="G17" s="5">
        <v>15</v>
      </c>
      <c r="H17" s="43">
        <f t="shared" si="1"/>
        <v>329</v>
      </c>
      <c r="I17" s="35" t="s">
        <v>52</v>
      </c>
      <c r="J17" s="35" t="s">
        <v>52</v>
      </c>
      <c r="K17" s="35" t="s">
        <v>52</v>
      </c>
      <c r="L17" s="5">
        <v>329</v>
      </c>
      <c r="M17" s="5">
        <v>78</v>
      </c>
      <c r="N17" s="3"/>
    </row>
    <row r="18" spans="3:14" x14ac:dyDescent="0.2">
      <c r="C18" s="1" t="s">
        <v>243</v>
      </c>
      <c r="D18" s="28">
        <v>3</v>
      </c>
      <c r="E18" s="5">
        <v>29</v>
      </c>
      <c r="F18" s="5">
        <v>12</v>
      </c>
      <c r="G18" s="5">
        <v>17</v>
      </c>
      <c r="H18" s="43">
        <f t="shared" si="1"/>
        <v>624</v>
      </c>
      <c r="I18" s="5">
        <v>100</v>
      </c>
      <c r="J18" s="35" t="s">
        <v>52</v>
      </c>
      <c r="K18" s="5">
        <v>7</v>
      </c>
      <c r="L18" s="5">
        <v>517</v>
      </c>
      <c r="M18" s="5">
        <v>122</v>
      </c>
      <c r="N18" s="3"/>
    </row>
    <row r="19" spans="3:14" x14ac:dyDescent="0.2">
      <c r="C19" s="1" t="s">
        <v>244</v>
      </c>
      <c r="D19" s="28">
        <v>6</v>
      </c>
      <c r="E19" s="5">
        <v>60</v>
      </c>
      <c r="F19" s="5">
        <v>19</v>
      </c>
      <c r="G19" s="5">
        <v>37</v>
      </c>
      <c r="H19" s="43">
        <f t="shared" si="1"/>
        <v>1302</v>
      </c>
      <c r="I19" s="5">
        <v>312</v>
      </c>
      <c r="J19" s="35" t="s">
        <v>52</v>
      </c>
      <c r="K19" s="35" t="s">
        <v>52</v>
      </c>
      <c r="L19" s="5">
        <v>990</v>
      </c>
      <c r="M19" s="5">
        <v>199</v>
      </c>
      <c r="N19" s="3"/>
    </row>
    <row r="20" spans="3:14" x14ac:dyDescent="0.2">
      <c r="C20" s="1" t="s">
        <v>245</v>
      </c>
      <c r="D20" s="28">
        <v>3</v>
      </c>
      <c r="E20" s="5">
        <v>42</v>
      </c>
      <c r="F20" s="5">
        <v>19</v>
      </c>
      <c r="G20" s="5">
        <v>29</v>
      </c>
      <c r="H20" s="43">
        <f t="shared" si="1"/>
        <v>580</v>
      </c>
      <c r="I20" s="5">
        <v>198</v>
      </c>
      <c r="J20" s="5">
        <v>18</v>
      </c>
      <c r="K20" s="35" t="s">
        <v>52</v>
      </c>
      <c r="L20" s="5">
        <v>364</v>
      </c>
      <c r="M20" s="5">
        <v>237</v>
      </c>
      <c r="N20" s="3"/>
    </row>
    <row r="21" spans="3:14" x14ac:dyDescent="0.2">
      <c r="D21" s="10"/>
      <c r="N21" s="3"/>
    </row>
    <row r="22" spans="3:14" x14ac:dyDescent="0.2">
      <c r="C22" s="1" t="s">
        <v>246</v>
      </c>
      <c r="D22" s="32" t="s">
        <v>52</v>
      </c>
      <c r="E22" s="5">
        <v>10</v>
      </c>
      <c r="F22" s="5">
        <v>3</v>
      </c>
      <c r="G22" s="5">
        <v>5</v>
      </c>
      <c r="H22" s="44" t="s">
        <v>52</v>
      </c>
      <c r="I22" s="35" t="s">
        <v>52</v>
      </c>
      <c r="J22" s="35" t="s">
        <v>52</v>
      </c>
      <c r="K22" s="35" t="s">
        <v>52</v>
      </c>
      <c r="L22" s="35" t="s">
        <v>52</v>
      </c>
      <c r="M22" s="5">
        <v>41</v>
      </c>
      <c r="N22" s="3"/>
    </row>
    <row r="23" spans="3:14" x14ac:dyDescent="0.2">
      <c r="C23" s="1" t="s">
        <v>247</v>
      </c>
      <c r="D23" s="28">
        <v>1</v>
      </c>
      <c r="E23" s="5">
        <v>6</v>
      </c>
      <c r="F23" s="35" t="s">
        <v>52</v>
      </c>
      <c r="G23" s="5">
        <v>2</v>
      </c>
      <c r="H23" s="43">
        <f>I23+J23+K23+L23</f>
        <v>325</v>
      </c>
      <c r="I23" s="5">
        <v>100</v>
      </c>
      <c r="J23" s="5">
        <v>53</v>
      </c>
      <c r="K23" s="5">
        <v>18</v>
      </c>
      <c r="L23" s="5">
        <v>154</v>
      </c>
      <c r="M23" s="35" t="s">
        <v>52</v>
      </c>
      <c r="N23" s="3"/>
    </row>
    <row r="24" spans="3:14" x14ac:dyDescent="0.2">
      <c r="C24" s="1" t="s">
        <v>248</v>
      </c>
      <c r="D24" s="32" t="s">
        <v>52</v>
      </c>
      <c r="E24" s="5">
        <v>9</v>
      </c>
      <c r="F24" s="5">
        <v>2</v>
      </c>
      <c r="G24" s="5">
        <v>1</v>
      </c>
      <c r="H24" s="44" t="s">
        <v>52</v>
      </c>
      <c r="I24" s="35" t="s">
        <v>52</v>
      </c>
      <c r="J24" s="35" t="s">
        <v>52</v>
      </c>
      <c r="K24" s="35" t="s">
        <v>52</v>
      </c>
      <c r="L24" s="35" t="s">
        <v>52</v>
      </c>
      <c r="M24" s="5">
        <v>6</v>
      </c>
      <c r="N24" s="3"/>
    </row>
    <row r="25" spans="3:14" x14ac:dyDescent="0.2">
      <c r="D25" s="10"/>
      <c r="N25" s="3"/>
    </row>
    <row r="26" spans="3:14" x14ac:dyDescent="0.2">
      <c r="C26" s="1" t="s">
        <v>249</v>
      </c>
      <c r="D26" s="28">
        <v>1</v>
      </c>
      <c r="E26" s="5">
        <v>14</v>
      </c>
      <c r="F26" s="5">
        <v>5</v>
      </c>
      <c r="G26" s="5">
        <v>7</v>
      </c>
      <c r="H26" s="43">
        <f t="shared" ref="H26:H31" si="2">I26+J26+K26+L26</f>
        <v>205</v>
      </c>
      <c r="I26" s="35" t="s">
        <v>52</v>
      </c>
      <c r="J26" s="5">
        <v>34</v>
      </c>
      <c r="K26" s="5">
        <v>18</v>
      </c>
      <c r="L26" s="5">
        <v>153</v>
      </c>
      <c r="M26" s="5">
        <v>72</v>
      </c>
      <c r="N26" s="3"/>
    </row>
    <row r="27" spans="3:14" x14ac:dyDescent="0.2">
      <c r="C27" s="1" t="s">
        <v>250</v>
      </c>
      <c r="D27" s="32" t="s">
        <v>52</v>
      </c>
      <c r="E27" s="5">
        <v>16</v>
      </c>
      <c r="F27" s="5">
        <v>4</v>
      </c>
      <c r="G27" s="5">
        <v>7</v>
      </c>
      <c r="H27" s="44" t="s">
        <v>52</v>
      </c>
      <c r="I27" s="35" t="s">
        <v>52</v>
      </c>
      <c r="J27" s="35" t="s">
        <v>52</v>
      </c>
      <c r="K27" s="35" t="s">
        <v>52</v>
      </c>
      <c r="L27" s="35" t="s">
        <v>52</v>
      </c>
      <c r="M27" s="5">
        <v>36</v>
      </c>
      <c r="N27" s="3"/>
    </row>
    <row r="28" spans="3:14" x14ac:dyDescent="0.2">
      <c r="C28" s="1" t="s">
        <v>251</v>
      </c>
      <c r="D28" s="28">
        <v>1</v>
      </c>
      <c r="E28" s="5">
        <v>6</v>
      </c>
      <c r="F28" s="5">
        <v>1</v>
      </c>
      <c r="G28" s="5">
        <v>4</v>
      </c>
      <c r="H28" s="43">
        <f t="shared" si="2"/>
        <v>102</v>
      </c>
      <c r="I28" s="35" t="s">
        <v>52</v>
      </c>
      <c r="J28" s="35" t="s">
        <v>52</v>
      </c>
      <c r="K28" s="35" t="s">
        <v>52</v>
      </c>
      <c r="L28" s="5">
        <v>102</v>
      </c>
      <c r="M28" s="5">
        <v>2</v>
      </c>
      <c r="N28" s="3"/>
    </row>
    <row r="29" spans="3:14" x14ac:dyDescent="0.2">
      <c r="C29" s="1" t="s">
        <v>252</v>
      </c>
      <c r="D29" s="28">
        <v>1</v>
      </c>
      <c r="E29" s="5">
        <v>11</v>
      </c>
      <c r="F29" s="5">
        <v>2</v>
      </c>
      <c r="G29" s="5">
        <v>3</v>
      </c>
      <c r="H29" s="43">
        <f t="shared" si="2"/>
        <v>50</v>
      </c>
      <c r="I29" s="35" t="s">
        <v>52</v>
      </c>
      <c r="J29" s="35" t="s">
        <v>52</v>
      </c>
      <c r="K29" s="35" t="s">
        <v>52</v>
      </c>
      <c r="L29" s="5">
        <v>50</v>
      </c>
      <c r="M29" s="5">
        <v>27</v>
      </c>
      <c r="N29" s="3"/>
    </row>
    <row r="30" spans="3:14" x14ac:dyDescent="0.2">
      <c r="C30" s="1" t="s">
        <v>253</v>
      </c>
      <c r="D30" s="32" t="s">
        <v>52</v>
      </c>
      <c r="E30" s="5">
        <v>15</v>
      </c>
      <c r="F30" s="5">
        <v>3</v>
      </c>
      <c r="G30" s="5">
        <v>9</v>
      </c>
      <c r="H30" s="44" t="s">
        <v>52</v>
      </c>
      <c r="I30" s="35" t="s">
        <v>52</v>
      </c>
      <c r="J30" s="35" t="s">
        <v>52</v>
      </c>
      <c r="K30" s="35" t="s">
        <v>52</v>
      </c>
      <c r="L30" s="35" t="s">
        <v>52</v>
      </c>
      <c r="M30" s="5">
        <v>32</v>
      </c>
      <c r="N30" s="3"/>
    </row>
    <row r="31" spans="3:14" x14ac:dyDescent="0.2">
      <c r="C31" s="1" t="s">
        <v>254</v>
      </c>
      <c r="D31" s="28">
        <v>4</v>
      </c>
      <c r="E31" s="5">
        <v>33</v>
      </c>
      <c r="F31" s="5">
        <v>6</v>
      </c>
      <c r="G31" s="5">
        <v>15</v>
      </c>
      <c r="H31" s="43">
        <f t="shared" si="2"/>
        <v>528</v>
      </c>
      <c r="I31" s="5">
        <v>293</v>
      </c>
      <c r="J31" s="35" t="s">
        <v>52</v>
      </c>
      <c r="K31" s="35" t="s">
        <v>52</v>
      </c>
      <c r="L31" s="5">
        <v>235</v>
      </c>
      <c r="M31" s="5">
        <v>87</v>
      </c>
      <c r="N31" s="3"/>
    </row>
    <row r="32" spans="3:14" x14ac:dyDescent="0.2">
      <c r="D32" s="10"/>
      <c r="N32" s="3"/>
    </row>
    <row r="33" spans="3:14" x14ac:dyDescent="0.2">
      <c r="C33" s="1" t="s">
        <v>255</v>
      </c>
      <c r="D33" s="28">
        <v>1</v>
      </c>
      <c r="E33" s="5">
        <v>15</v>
      </c>
      <c r="F33" s="5">
        <v>4</v>
      </c>
      <c r="G33" s="5">
        <v>7</v>
      </c>
      <c r="H33" s="43">
        <f>I33+J33+K33+L33</f>
        <v>238</v>
      </c>
      <c r="I33" s="35" t="s">
        <v>52</v>
      </c>
      <c r="J33" s="5">
        <v>30</v>
      </c>
      <c r="K33" s="5">
        <v>18</v>
      </c>
      <c r="L33" s="5">
        <v>190</v>
      </c>
      <c r="M33" s="5">
        <v>45</v>
      </c>
      <c r="N33" s="3"/>
    </row>
    <row r="34" spans="3:14" x14ac:dyDescent="0.2">
      <c r="C34" s="1" t="s">
        <v>256</v>
      </c>
      <c r="D34" s="28">
        <v>1</v>
      </c>
      <c r="E34" s="5">
        <v>15</v>
      </c>
      <c r="F34" s="5">
        <v>5</v>
      </c>
      <c r="G34" s="5">
        <v>6</v>
      </c>
      <c r="H34" s="43">
        <f>I34+J34+K34+L34</f>
        <v>71</v>
      </c>
      <c r="I34" s="35" t="s">
        <v>52</v>
      </c>
      <c r="J34" s="35" t="s">
        <v>52</v>
      </c>
      <c r="K34" s="35" t="s">
        <v>52</v>
      </c>
      <c r="L34" s="5">
        <v>71</v>
      </c>
      <c r="M34" s="5">
        <v>65</v>
      </c>
      <c r="N34" s="3"/>
    </row>
    <row r="35" spans="3:14" x14ac:dyDescent="0.2">
      <c r="C35" s="1" t="s">
        <v>257</v>
      </c>
      <c r="D35" s="28">
        <v>1</v>
      </c>
      <c r="E35" s="5">
        <v>2</v>
      </c>
      <c r="F35" s="5">
        <v>1</v>
      </c>
      <c r="G35" s="5">
        <v>1</v>
      </c>
      <c r="H35" s="43">
        <f>I35+J35+K35+L35</f>
        <v>120</v>
      </c>
      <c r="I35" s="5">
        <v>120</v>
      </c>
      <c r="J35" s="35" t="s">
        <v>52</v>
      </c>
      <c r="K35" s="35" t="s">
        <v>52</v>
      </c>
      <c r="L35" s="35" t="s">
        <v>52</v>
      </c>
      <c r="M35" s="5">
        <v>19</v>
      </c>
      <c r="N35" s="3"/>
    </row>
    <row r="36" spans="3:14" x14ac:dyDescent="0.2">
      <c r="C36" s="1" t="s">
        <v>258</v>
      </c>
      <c r="D36" s="28">
        <v>1</v>
      </c>
      <c r="E36" s="5">
        <v>4</v>
      </c>
      <c r="F36" s="35" t="s">
        <v>52</v>
      </c>
      <c r="G36" s="5">
        <v>4</v>
      </c>
      <c r="H36" s="43">
        <f>I36+J36+K36+L36</f>
        <v>52</v>
      </c>
      <c r="I36" s="35" t="s">
        <v>52</v>
      </c>
      <c r="J36" s="35" t="s">
        <v>52</v>
      </c>
      <c r="K36" s="35" t="s">
        <v>52</v>
      </c>
      <c r="L36" s="5">
        <v>52</v>
      </c>
      <c r="M36" s="35" t="s">
        <v>52</v>
      </c>
      <c r="N36" s="3"/>
    </row>
    <row r="37" spans="3:14" x14ac:dyDescent="0.2">
      <c r="C37" s="1" t="s">
        <v>259</v>
      </c>
      <c r="D37" s="32" t="s">
        <v>52</v>
      </c>
      <c r="E37" s="35" t="s">
        <v>52</v>
      </c>
      <c r="F37" s="35" t="s">
        <v>52</v>
      </c>
      <c r="G37" s="35" t="s">
        <v>52</v>
      </c>
      <c r="H37" s="44" t="s">
        <v>52</v>
      </c>
      <c r="I37" s="35" t="s">
        <v>52</v>
      </c>
      <c r="J37" s="35" t="s">
        <v>52</v>
      </c>
      <c r="K37" s="35" t="s">
        <v>52</v>
      </c>
      <c r="L37" s="35" t="s">
        <v>52</v>
      </c>
      <c r="M37" s="35" t="s">
        <v>52</v>
      </c>
      <c r="N37" s="3"/>
    </row>
    <row r="38" spans="3:14" x14ac:dyDescent="0.2">
      <c r="D38" s="10"/>
      <c r="N38" s="3"/>
    </row>
    <row r="39" spans="3:14" x14ac:dyDescent="0.2">
      <c r="C39" s="1" t="s">
        <v>260</v>
      </c>
      <c r="D39" s="28">
        <v>1</v>
      </c>
      <c r="E39" s="5">
        <v>18</v>
      </c>
      <c r="F39" s="5">
        <v>3</v>
      </c>
      <c r="G39" s="5">
        <v>8</v>
      </c>
      <c r="H39" s="43">
        <f>I39+J39+K39+L39</f>
        <v>150</v>
      </c>
      <c r="I39" s="35" t="s">
        <v>52</v>
      </c>
      <c r="J39" s="35" t="s">
        <v>52</v>
      </c>
      <c r="K39" s="35" t="s">
        <v>52</v>
      </c>
      <c r="L39" s="5">
        <v>150</v>
      </c>
      <c r="M39" s="5">
        <v>31</v>
      </c>
      <c r="N39" s="3"/>
    </row>
    <row r="40" spans="3:14" x14ac:dyDescent="0.2">
      <c r="C40" s="1" t="s">
        <v>261</v>
      </c>
      <c r="D40" s="32" t="s">
        <v>52</v>
      </c>
      <c r="E40" s="5">
        <v>4</v>
      </c>
      <c r="F40" s="5">
        <v>2</v>
      </c>
      <c r="G40" s="5">
        <v>3</v>
      </c>
      <c r="H40" s="44" t="s">
        <v>52</v>
      </c>
      <c r="I40" s="35" t="s">
        <v>52</v>
      </c>
      <c r="J40" s="35" t="s">
        <v>52</v>
      </c>
      <c r="K40" s="35" t="s">
        <v>52</v>
      </c>
      <c r="L40" s="35" t="s">
        <v>52</v>
      </c>
      <c r="M40" s="5">
        <v>38</v>
      </c>
      <c r="N40" s="3"/>
    </row>
    <row r="41" spans="3:14" x14ac:dyDescent="0.2">
      <c r="C41" s="1" t="s">
        <v>262</v>
      </c>
      <c r="D41" s="28">
        <v>3</v>
      </c>
      <c r="E41" s="5">
        <v>15</v>
      </c>
      <c r="F41" s="5">
        <v>5</v>
      </c>
      <c r="G41" s="5">
        <v>9</v>
      </c>
      <c r="H41" s="43">
        <f>I41+J41+K41+L41</f>
        <v>640</v>
      </c>
      <c r="I41" s="5">
        <v>450</v>
      </c>
      <c r="J41" s="35" t="s">
        <v>52</v>
      </c>
      <c r="K41" s="35" t="s">
        <v>52</v>
      </c>
      <c r="L41" s="5">
        <v>190</v>
      </c>
      <c r="M41" s="5">
        <v>58</v>
      </c>
      <c r="N41" s="3"/>
    </row>
    <row r="42" spans="3:14" x14ac:dyDescent="0.2">
      <c r="C42" s="1" t="s">
        <v>263</v>
      </c>
      <c r="D42" s="28">
        <v>1</v>
      </c>
      <c r="E42" s="5">
        <v>4</v>
      </c>
      <c r="F42" s="5">
        <v>2</v>
      </c>
      <c r="G42" s="5">
        <v>2</v>
      </c>
      <c r="H42" s="43">
        <f>I42+J42+K42+L42</f>
        <v>36</v>
      </c>
      <c r="I42" s="35" t="s">
        <v>52</v>
      </c>
      <c r="J42" s="35" t="s">
        <v>52</v>
      </c>
      <c r="K42" s="35" t="s">
        <v>52</v>
      </c>
      <c r="L42" s="5">
        <v>36</v>
      </c>
      <c r="M42" s="5">
        <v>13</v>
      </c>
      <c r="N42" s="3"/>
    </row>
    <row r="43" spans="3:14" x14ac:dyDescent="0.2">
      <c r="C43" s="1" t="s">
        <v>264</v>
      </c>
      <c r="D43" s="32" t="s">
        <v>52</v>
      </c>
      <c r="E43" s="5">
        <v>5</v>
      </c>
      <c r="F43" s="35" t="s">
        <v>52</v>
      </c>
      <c r="G43" s="5">
        <v>3</v>
      </c>
      <c r="H43" s="44" t="s">
        <v>52</v>
      </c>
      <c r="I43" s="35" t="s">
        <v>52</v>
      </c>
      <c r="J43" s="35" t="s">
        <v>52</v>
      </c>
      <c r="K43" s="35" t="s">
        <v>52</v>
      </c>
      <c r="L43" s="35" t="s">
        <v>52</v>
      </c>
      <c r="M43" s="35" t="s">
        <v>52</v>
      </c>
      <c r="N43" s="3"/>
    </row>
    <row r="44" spans="3:14" x14ac:dyDescent="0.2">
      <c r="D44" s="10"/>
      <c r="N44" s="3"/>
    </row>
    <row r="45" spans="3:14" x14ac:dyDescent="0.2">
      <c r="C45" s="1" t="s">
        <v>265</v>
      </c>
      <c r="D45" s="28">
        <v>1</v>
      </c>
      <c r="E45" s="5">
        <v>8</v>
      </c>
      <c r="F45" s="5">
        <v>2</v>
      </c>
      <c r="G45" s="5">
        <v>1</v>
      </c>
      <c r="H45" s="43">
        <f>I45+J45+K45+L45</f>
        <v>430</v>
      </c>
      <c r="I45" s="35" t="s">
        <v>52</v>
      </c>
      <c r="J45" s="5">
        <v>75</v>
      </c>
      <c r="K45" s="35" t="s">
        <v>52</v>
      </c>
      <c r="L45" s="5">
        <v>355</v>
      </c>
      <c r="M45" s="5">
        <v>28</v>
      </c>
      <c r="N45" s="3"/>
    </row>
    <row r="46" spans="3:14" x14ac:dyDescent="0.2">
      <c r="C46" s="1" t="s">
        <v>266</v>
      </c>
      <c r="D46" s="32" t="s">
        <v>52</v>
      </c>
      <c r="E46" s="5">
        <v>4</v>
      </c>
      <c r="F46" s="5">
        <v>1</v>
      </c>
      <c r="G46" s="5">
        <v>2</v>
      </c>
      <c r="H46" s="44" t="s">
        <v>52</v>
      </c>
      <c r="I46" s="35" t="s">
        <v>52</v>
      </c>
      <c r="J46" s="35" t="s">
        <v>52</v>
      </c>
      <c r="K46" s="35" t="s">
        <v>52</v>
      </c>
      <c r="L46" s="35" t="s">
        <v>52</v>
      </c>
      <c r="M46" s="5">
        <v>19</v>
      </c>
      <c r="N46" s="3"/>
    </row>
    <row r="47" spans="3:14" x14ac:dyDescent="0.2">
      <c r="C47" s="1" t="s">
        <v>267</v>
      </c>
      <c r="D47" s="32" t="s">
        <v>52</v>
      </c>
      <c r="E47" s="5">
        <v>6</v>
      </c>
      <c r="F47" s="5">
        <v>1</v>
      </c>
      <c r="G47" s="5">
        <v>3</v>
      </c>
      <c r="H47" s="44" t="s">
        <v>52</v>
      </c>
      <c r="I47" s="35" t="s">
        <v>52</v>
      </c>
      <c r="J47" s="35" t="s">
        <v>52</v>
      </c>
      <c r="K47" s="35" t="s">
        <v>52</v>
      </c>
      <c r="L47" s="35" t="s">
        <v>52</v>
      </c>
      <c r="M47" s="5">
        <v>19</v>
      </c>
      <c r="N47" s="3"/>
    </row>
    <row r="48" spans="3:14" x14ac:dyDescent="0.2">
      <c r="C48" s="1" t="s">
        <v>268</v>
      </c>
      <c r="D48" s="32" t="s">
        <v>52</v>
      </c>
      <c r="E48" s="5">
        <v>2</v>
      </c>
      <c r="F48" s="35" t="s">
        <v>52</v>
      </c>
      <c r="G48" s="5">
        <v>1</v>
      </c>
      <c r="H48" s="44" t="s">
        <v>52</v>
      </c>
      <c r="I48" s="35" t="s">
        <v>52</v>
      </c>
      <c r="J48" s="35" t="s">
        <v>52</v>
      </c>
      <c r="K48" s="35" t="s">
        <v>52</v>
      </c>
      <c r="L48" s="35" t="s">
        <v>52</v>
      </c>
      <c r="M48" s="35" t="s">
        <v>52</v>
      </c>
      <c r="N48" s="3"/>
    </row>
    <row r="49" spans="3:14" x14ac:dyDescent="0.2">
      <c r="C49" s="1" t="s">
        <v>269</v>
      </c>
      <c r="D49" s="32" t="s">
        <v>52</v>
      </c>
      <c r="E49" s="5">
        <v>2</v>
      </c>
      <c r="F49" s="35" t="s">
        <v>52</v>
      </c>
      <c r="G49" s="35" t="s">
        <v>52</v>
      </c>
      <c r="H49" s="44" t="s">
        <v>52</v>
      </c>
      <c r="I49" s="35" t="s">
        <v>52</v>
      </c>
      <c r="J49" s="35" t="s">
        <v>52</v>
      </c>
      <c r="K49" s="35" t="s">
        <v>52</v>
      </c>
      <c r="L49" s="35" t="s">
        <v>52</v>
      </c>
      <c r="M49" s="35" t="s">
        <v>52</v>
      </c>
      <c r="N49" s="3"/>
    </row>
    <row r="50" spans="3:14" x14ac:dyDescent="0.2">
      <c r="C50" s="1" t="s">
        <v>270</v>
      </c>
      <c r="D50" s="32" t="s">
        <v>52</v>
      </c>
      <c r="E50" s="5">
        <v>4</v>
      </c>
      <c r="F50" s="5">
        <v>1</v>
      </c>
      <c r="G50" s="5">
        <v>1</v>
      </c>
      <c r="H50" s="44" t="s">
        <v>52</v>
      </c>
      <c r="I50" s="35" t="s">
        <v>52</v>
      </c>
      <c r="J50" s="35" t="s">
        <v>52</v>
      </c>
      <c r="K50" s="35" t="s">
        <v>52</v>
      </c>
      <c r="L50" s="35" t="s">
        <v>52</v>
      </c>
      <c r="M50" s="5">
        <v>11</v>
      </c>
      <c r="N50" s="3"/>
    </row>
    <row r="51" spans="3:14" x14ac:dyDescent="0.2">
      <c r="C51" s="1" t="s">
        <v>271</v>
      </c>
      <c r="D51" s="32" t="s">
        <v>52</v>
      </c>
      <c r="E51" s="5">
        <v>6</v>
      </c>
      <c r="F51" s="35" t="s">
        <v>52</v>
      </c>
      <c r="G51" s="5">
        <v>1</v>
      </c>
      <c r="H51" s="44" t="s">
        <v>52</v>
      </c>
      <c r="I51" s="35" t="s">
        <v>52</v>
      </c>
      <c r="J51" s="35" t="s">
        <v>52</v>
      </c>
      <c r="K51" s="35" t="s">
        <v>52</v>
      </c>
      <c r="L51" s="35" t="s">
        <v>52</v>
      </c>
      <c r="M51" s="35" t="s">
        <v>52</v>
      </c>
      <c r="N51" s="3"/>
    </row>
    <row r="52" spans="3:14" x14ac:dyDescent="0.2">
      <c r="C52" s="1" t="s">
        <v>272</v>
      </c>
      <c r="D52" s="32" t="s">
        <v>52</v>
      </c>
      <c r="E52" s="5">
        <v>4</v>
      </c>
      <c r="F52" s="5">
        <v>1</v>
      </c>
      <c r="G52" s="35" t="s">
        <v>52</v>
      </c>
      <c r="H52" s="44" t="s">
        <v>52</v>
      </c>
      <c r="I52" s="35" t="s">
        <v>52</v>
      </c>
      <c r="J52" s="35" t="s">
        <v>52</v>
      </c>
      <c r="K52" s="35" t="s">
        <v>52</v>
      </c>
      <c r="L52" s="35" t="s">
        <v>52</v>
      </c>
      <c r="M52" s="5">
        <v>6</v>
      </c>
      <c r="N52" s="3"/>
    </row>
    <row r="53" spans="3:14" x14ac:dyDescent="0.2">
      <c r="C53" s="1" t="s">
        <v>273</v>
      </c>
      <c r="D53" s="32" t="s">
        <v>52</v>
      </c>
      <c r="E53" s="5">
        <v>7</v>
      </c>
      <c r="F53" s="5">
        <v>2</v>
      </c>
      <c r="G53" s="5">
        <v>5</v>
      </c>
      <c r="H53" s="44" t="s">
        <v>52</v>
      </c>
      <c r="I53" s="35" t="s">
        <v>52</v>
      </c>
      <c r="J53" s="35" t="s">
        <v>52</v>
      </c>
      <c r="K53" s="35" t="s">
        <v>52</v>
      </c>
      <c r="L53" s="35" t="s">
        <v>52</v>
      </c>
      <c r="M53" s="5">
        <v>31</v>
      </c>
      <c r="N53" s="3"/>
    </row>
    <row r="54" spans="3:14" x14ac:dyDescent="0.2">
      <c r="C54" s="1" t="s">
        <v>274</v>
      </c>
      <c r="D54" s="32" t="s">
        <v>52</v>
      </c>
      <c r="E54" s="5">
        <v>5</v>
      </c>
      <c r="F54" s="5">
        <v>2</v>
      </c>
      <c r="G54" s="5">
        <v>3</v>
      </c>
      <c r="H54" s="44" t="s">
        <v>52</v>
      </c>
      <c r="I54" s="35" t="s">
        <v>52</v>
      </c>
      <c r="J54" s="35" t="s">
        <v>52</v>
      </c>
      <c r="K54" s="35" t="s">
        <v>52</v>
      </c>
      <c r="L54" s="35" t="s">
        <v>52</v>
      </c>
      <c r="M54" s="5">
        <v>26</v>
      </c>
      <c r="N54" s="3"/>
    </row>
    <row r="55" spans="3:14" x14ac:dyDescent="0.2">
      <c r="D55" s="10"/>
      <c r="N55" s="3"/>
    </row>
    <row r="56" spans="3:14" x14ac:dyDescent="0.2">
      <c r="C56" s="1" t="s">
        <v>275</v>
      </c>
      <c r="D56" s="28">
        <v>1</v>
      </c>
      <c r="E56" s="5">
        <v>10</v>
      </c>
      <c r="F56" s="5">
        <v>1</v>
      </c>
      <c r="G56" s="5">
        <v>8</v>
      </c>
      <c r="H56" s="43">
        <f t="shared" ref="H56:H62" si="3">I56+J56+K56+L56</f>
        <v>145</v>
      </c>
      <c r="I56" s="35" t="s">
        <v>52</v>
      </c>
      <c r="J56" s="35" t="s">
        <v>52</v>
      </c>
      <c r="K56" s="35" t="s">
        <v>52</v>
      </c>
      <c r="L56" s="5">
        <v>145</v>
      </c>
      <c r="M56" s="5">
        <v>19</v>
      </c>
      <c r="N56" s="3"/>
    </row>
    <row r="57" spans="3:14" x14ac:dyDescent="0.2">
      <c r="C57" s="1" t="s">
        <v>276</v>
      </c>
      <c r="D57" s="32" t="s">
        <v>52</v>
      </c>
      <c r="E57" s="5">
        <v>5</v>
      </c>
      <c r="F57" s="35" t="s">
        <v>52</v>
      </c>
      <c r="G57" s="5">
        <v>1</v>
      </c>
      <c r="H57" s="44" t="s">
        <v>52</v>
      </c>
      <c r="I57" s="35" t="s">
        <v>52</v>
      </c>
      <c r="J57" s="35" t="s">
        <v>52</v>
      </c>
      <c r="K57" s="35" t="s">
        <v>52</v>
      </c>
      <c r="L57" s="35" t="s">
        <v>52</v>
      </c>
      <c r="M57" s="35" t="s">
        <v>52</v>
      </c>
      <c r="N57" s="3"/>
    </row>
    <row r="58" spans="3:14" x14ac:dyDescent="0.2">
      <c r="C58" s="1" t="s">
        <v>277</v>
      </c>
      <c r="D58" s="32" t="s">
        <v>52</v>
      </c>
      <c r="E58" s="5">
        <v>4</v>
      </c>
      <c r="F58" s="35" t="s">
        <v>52</v>
      </c>
      <c r="G58" s="5">
        <v>1</v>
      </c>
      <c r="H58" s="44" t="s">
        <v>52</v>
      </c>
      <c r="I58" s="35" t="s">
        <v>52</v>
      </c>
      <c r="J58" s="35" t="s">
        <v>52</v>
      </c>
      <c r="K58" s="35" t="s">
        <v>52</v>
      </c>
      <c r="L58" s="35" t="s">
        <v>52</v>
      </c>
      <c r="M58" s="35" t="s">
        <v>52</v>
      </c>
      <c r="N58" s="3"/>
    </row>
    <row r="59" spans="3:14" x14ac:dyDescent="0.2">
      <c r="C59" s="1" t="s">
        <v>278</v>
      </c>
      <c r="D59" s="28">
        <v>1</v>
      </c>
      <c r="E59" s="5">
        <v>8</v>
      </c>
      <c r="F59" s="5">
        <v>3</v>
      </c>
      <c r="G59" s="5">
        <v>5</v>
      </c>
      <c r="H59" s="43">
        <f t="shared" si="3"/>
        <v>74</v>
      </c>
      <c r="I59" s="35" t="s">
        <v>52</v>
      </c>
      <c r="J59" s="35" t="s">
        <v>52</v>
      </c>
      <c r="K59" s="35" t="s">
        <v>52</v>
      </c>
      <c r="L59" s="5">
        <v>74</v>
      </c>
      <c r="M59" s="5">
        <v>37</v>
      </c>
      <c r="N59" s="3"/>
    </row>
    <row r="60" spans="3:14" x14ac:dyDescent="0.2">
      <c r="C60" s="1" t="s">
        <v>279</v>
      </c>
      <c r="D60" s="32" t="s">
        <v>52</v>
      </c>
      <c r="E60" s="5">
        <v>5</v>
      </c>
      <c r="F60" s="5">
        <v>1</v>
      </c>
      <c r="G60" s="5">
        <v>2</v>
      </c>
      <c r="H60" s="44" t="s">
        <v>52</v>
      </c>
      <c r="I60" s="35" t="s">
        <v>52</v>
      </c>
      <c r="J60" s="35" t="s">
        <v>52</v>
      </c>
      <c r="K60" s="35" t="s">
        <v>52</v>
      </c>
      <c r="L60" s="35" t="s">
        <v>52</v>
      </c>
      <c r="M60" s="5">
        <v>19</v>
      </c>
      <c r="N60" s="3"/>
    </row>
    <row r="61" spans="3:14" x14ac:dyDescent="0.2">
      <c r="C61" s="1" t="s">
        <v>280</v>
      </c>
      <c r="D61" s="28">
        <v>1</v>
      </c>
      <c r="E61" s="5">
        <v>7</v>
      </c>
      <c r="F61" s="35" t="s">
        <v>52</v>
      </c>
      <c r="G61" s="5">
        <v>3</v>
      </c>
      <c r="H61" s="43">
        <f t="shared" si="3"/>
        <v>84</v>
      </c>
      <c r="I61" s="35" t="s">
        <v>52</v>
      </c>
      <c r="J61" s="35" t="s">
        <v>52</v>
      </c>
      <c r="K61" s="35" t="s">
        <v>52</v>
      </c>
      <c r="L61" s="5">
        <v>84</v>
      </c>
      <c r="M61" s="35" t="s">
        <v>52</v>
      </c>
      <c r="N61" s="3"/>
    </row>
    <row r="62" spans="3:14" x14ac:dyDescent="0.2">
      <c r="C62" s="1" t="s">
        <v>281</v>
      </c>
      <c r="D62" s="28">
        <v>3</v>
      </c>
      <c r="E62" s="5">
        <v>12</v>
      </c>
      <c r="F62" s="5">
        <v>3</v>
      </c>
      <c r="G62" s="5">
        <v>6</v>
      </c>
      <c r="H62" s="43">
        <f t="shared" si="3"/>
        <v>510</v>
      </c>
      <c r="I62" s="5">
        <v>178</v>
      </c>
      <c r="J62" s="5">
        <v>20</v>
      </c>
      <c r="K62" s="5">
        <v>15</v>
      </c>
      <c r="L62" s="5">
        <v>297</v>
      </c>
      <c r="M62" s="5">
        <v>40</v>
      </c>
      <c r="N62" s="3"/>
    </row>
    <row r="63" spans="3:14" x14ac:dyDescent="0.2">
      <c r="D63" s="10"/>
      <c r="N63" s="3"/>
    </row>
    <row r="64" spans="3:14" x14ac:dyDescent="0.2">
      <c r="C64" s="1" t="s">
        <v>282</v>
      </c>
      <c r="D64" s="28">
        <v>2</v>
      </c>
      <c r="E64" s="5">
        <v>11</v>
      </c>
      <c r="F64" s="5">
        <v>6</v>
      </c>
      <c r="G64" s="5">
        <v>13</v>
      </c>
      <c r="H64" s="43">
        <f>I64+J64+K64+L64</f>
        <v>341</v>
      </c>
      <c r="I64" s="35" t="s">
        <v>52</v>
      </c>
      <c r="J64" s="35" t="s">
        <v>52</v>
      </c>
      <c r="K64" s="5">
        <v>15</v>
      </c>
      <c r="L64" s="5">
        <v>326</v>
      </c>
      <c r="M64" s="5">
        <v>66</v>
      </c>
      <c r="N64" s="3"/>
    </row>
    <row r="65" spans="1:14" x14ac:dyDescent="0.2">
      <c r="C65" s="1" t="s">
        <v>283</v>
      </c>
      <c r="D65" s="32" t="s">
        <v>52</v>
      </c>
      <c r="E65" s="5">
        <v>5</v>
      </c>
      <c r="F65" s="5">
        <v>4</v>
      </c>
      <c r="G65" s="5">
        <v>2</v>
      </c>
      <c r="H65" s="44" t="s">
        <v>52</v>
      </c>
      <c r="I65" s="35" t="s">
        <v>52</v>
      </c>
      <c r="J65" s="35" t="s">
        <v>52</v>
      </c>
      <c r="K65" s="35" t="s">
        <v>52</v>
      </c>
      <c r="L65" s="35" t="s">
        <v>52</v>
      </c>
      <c r="M65" s="5">
        <v>31</v>
      </c>
      <c r="N65" s="3"/>
    </row>
    <row r="66" spans="1:14" x14ac:dyDescent="0.2">
      <c r="C66" s="1" t="s">
        <v>284</v>
      </c>
      <c r="D66" s="28">
        <v>1</v>
      </c>
      <c r="E66" s="5">
        <v>3</v>
      </c>
      <c r="F66" s="35" t="s">
        <v>52</v>
      </c>
      <c r="G66" s="5">
        <v>3</v>
      </c>
      <c r="H66" s="43">
        <f>I66+J66+K66+L66</f>
        <v>198</v>
      </c>
      <c r="I66" s="35" t="s">
        <v>52</v>
      </c>
      <c r="J66" s="5">
        <v>46</v>
      </c>
      <c r="K66" s="5">
        <v>16</v>
      </c>
      <c r="L66" s="5">
        <v>136</v>
      </c>
      <c r="M66" s="35" t="s">
        <v>52</v>
      </c>
      <c r="N66" s="3"/>
    </row>
    <row r="67" spans="1:14" x14ac:dyDescent="0.2">
      <c r="C67" s="1" t="s">
        <v>285</v>
      </c>
      <c r="D67" s="32" t="s">
        <v>52</v>
      </c>
      <c r="E67" s="5">
        <v>7</v>
      </c>
      <c r="F67" s="5">
        <v>3</v>
      </c>
      <c r="G67" s="5">
        <v>1</v>
      </c>
      <c r="H67" s="44" t="s">
        <v>52</v>
      </c>
      <c r="I67" s="35" t="s">
        <v>52</v>
      </c>
      <c r="J67" s="35" t="s">
        <v>52</v>
      </c>
      <c r="K67" s="35" t="s">
        <v>52</v>
      </c>
      <c r="L67" s="35" t="s">
        <v>52</v>
      </c>
      <c r="M67" s="5">
        <v>19</v>
      </c>
      <c r="N67" s="3"/>
    </row>
    <row r="68" spans="1:14" x14ac:dyDescent="0.2">
      <c r="C68" s="1" t="s">
        <v>286</v>
      </c>
      <c r="D68" s="32" t="s">
        <v>52</v>
      </c>
      <c r="E68" s="5">
        <v>5</v>
      </c>
      <c r="F68" s="35" t="s">
        <v>52</v>
      </c>
      <c r="G68" s="5">
        <v>1</v>
      </c>
      <c r="H68" s="44" t="s">
        <v>52</v>
      </c>
      <c r="I68" s="35" t="s">
        <v>52</v>
      </c>
      <c r="J68" s="35" t="s">
        <v>52</v>
      </c>
      <c r="K68" s="35" t="s">
        <v>52</v>
      </c>
      <c r="L68" s="35" t="s">
        <v>52</v>
      </c>
      <c r="M68" s="35" t="s">
        <v>52</v>
      </c>
      <c r="N68" s="3"/>
    </row>
    <row r="69" spans="1:14" x14ac:dyDescent="0.2">
      <c r="C69" s="1" t="s">
        <v>287</v>
      </c>
      <c r="D69" s="32" t="s">
        <v>52</v>
      </c>
      <c r="E69" s="5">
        <v>3</v>
      </c>
      <c r="F69" s="35" t="s">
        <v>52</v>
      </c>
      <c r="G69" s="5">
        <v>2</v>
      </c>
      <c r="H69" s="44" t="s">
        <v>52</v>
      </c>
      <c r="I69" s="35" t="s">
        <v>52</v>
      </c>
      <c r="J69" s="35" t="s">
        <v>52</v>
      </c>
      <c r="K69" s="35" t="s">
        <v>52</v>
      </c>
      <c r="L69" s="35" t="s">
        <v>52</v>
      </c>
      <c r="M69" s="35" t="s">
        <v>52</v>
      </c>
      <c r="N69" s="3"/>
    </row>
    <row r="70" spans="1:14" x14ac:dyDescent="0.2">
      <c r="C70" s="1" t="s">
        <v>288</v>
      </c>
      <c r="D70" s="32" t="s">
        <v>52</v>
      </c>
      <c r="E70" s="5">
        <v>1</v>
      </c>
      <c r="F70" s="35" t="s">
        <v>52</v>
      </c>
      <c r="G70" s="35" t="s">
        <v>52</v>
      </c>
      <c r="H70" s="44" t="s">
        <v>52</v>
      </c>
      <c r="I70" s="35" t="s">
        <v>52</v>
      </c>
      <c r="J70" s="35" t="s">
        <v>52</v>
      </c>
      <c r="K70" s="35" t="s">
        <v>52</v>
      </c>
      <c r="L70" s="35" t="s">
        <v>52</v>
      </c>
      <c r="M70" s="35" t="s">
        <v>52</v>
      </c>
      <c r="N70" s="3"/>
    </row>
    <row r="71" spans="1:14" ht="18" thickBot="1" x14ac:dyDescent="0.25">
      <c r="B71" s="6"/>
      <c r="C71" s="6"/>
      <c r="D71" s="23"/>
      <c r="E71" s="6"/>
      <c r="F71" s="6"/>
      <c r="G71" s="6"/>
      <c r="H71" s="6"/>
      <c r="I71" s="6"/>
      <c r="J71" s="6"/>
      <c r="K71" s="6"/>
      <c r="L71" s="6"/>
      <c r="M71" s="6"/>
      <c r="N71" s="3"/>
    </row>
    <row r="72" spans="1:14" x14ac:dyDescent="0.2">
      <c r="D72" s="1" t="s">
        <v>55</v>
      </c>
      <c r="N72" s="3"/>
    </row>
    <row r="73" spans="1:14" x14ac:dyDescent="0.2">
      <c r="A73" s="1"/>
      <c r="N73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8" width="12.125" style="2"/>
    <col min="9" max="12" width="10.875" style="2" customWidth="1"/>
    <col min="13" max="84" width="13.375" style="2" customWidth="1"/>
    <col min="85" max="256" width="12.125" style="2"/>
    <col min="257" max="257" width="13.375" style="2" customWidth="1"/>
    <col min="258" max="258" width="17.125" style="2" customWidth="1"/>
    <col min="259" max="264" width="12.125" style="2"/>
    <col min="265" max="268" width="10.875" style="2" customWidth="1"/>
    <col min="269" max="340" width="13.375" style="2" customWidth="1"/>
    <col min="341" max="512" width="12.125" style="2"/>
    <col min="513" max="513" width="13.375" style="2" customWidth="1"/>
    <col min="514" max="514" width="17.125" style="2" customWidth="1"/>
    <col min="515" max="520" width="12.125" style="2"/>
    <col min="521" max="524" width="10.875" style="2" customWidth="1"/>
    <col min="525" max="596" width="13.375" style="2" customWidth="1"/>
    <col min="597" max="768" width="12.125" style="2"/>
    <col min="769" max="769" width="13.375" style="2" customWidth="1"/>
    <col min="770" max="770" width="17.125" style="2" customWidth="1"/>
    <col min="771" max="776" width="12.125" style="2"/>
    <col min="777" max="780" width="10.875" style="2" customWidth="1"/>
    <col min="781" max="852" width="13.375" style="2" customWidth="1"/>
    <col min="853" max="1024" width="12.125" style="2"/>
    <col min="1025" max="1025" width="13.375" style="2" customWidth="1"/>
    <col min="1026" max="1026" width="17.125" style="2" customWidth="1"/>
    <col min="1027" max="1032" width="12.125" style="2"/>
    <col min="1033" max="1036" width="10.875" style="2" customWidth="1"/>
    <col min="1037" max="1108" width="13.375" style="2" customWidth="1"/>
    <col min="1109" max="1280" width="12.125" style="2"/>
    <col min="1281" max="1281" width="13.375" style="2" customWidth="1"/>
    <col min="1282" max="1282" width="17.125" style="2" customWidth="1"/>
    <col min="1283" max="1288" width="12.125" style="2"/>
    <col min="1289" max="1292" width="10.875" style="2" customWidth="1"/>
    <col min="1293" max="1364" width="13.375" style="2" customWidth="1"/>
    <col min="1365" max="1536" width="12.125" style="2"/>
    <col min="1537" max="1537" width="13.375" style="2" customWidth="1"/>
    <col min="1538" max="1538" width="17.125" style="2" customWidth="1"/>
    <col min="1539" max="1544" width="12.125" style="2"/>
    <col min="1545" max="1548" width="10.875" style="2" customWidth="1"/>
    <col min="1549" max="1620" width="13.375" style="2" customWidth="1"/>
    <col min="1621" max="1792" width="12.125" style="2"/>
    <col min="1793" max="1793" width="13.375" style="2" customWidth="1"/>
    <col min="1794" max="1794" width="17.125" style="2" customWidth="1"/>
    <col min="1795" max="1800" width="12.125" style="2"/>
    <col min="1801" max="1804" width="10.875" style="2" customWidth="1"/>
    <col min="1805" max="1876" width="13.375" style="2" customWidth="1"/>
    <col min="1877" max="2048" width="12.125" style="2"/>
    <col min="2049" max="2049" width="13.375" style="2" customWidth="1"/>
    <col min="2050" max="2050" width="17.125" style="2" customWidth="1"/>
    <col min="2051" max="2056" width="12.125" style="2"/>
    <col min="2057" max="2060" width="10.875" style="2" customWidth="1"/>
    <col min="2061" max="2132" width="13.375" style="2" customWidth="1"/>
    <col min="2133" max="2304" width="12.125" style="2"/>
    <col min="2305" max="2305" width="13.375" style="2" customWidth="1"/>
    <col min="2306" max="2306" width="17.125" style="2" customWidth="1"/>
    <col min="2307" max="2312" width="12.125" style="2"/>
    <col min="2313" max="2316" width="10.875" style="2" customWidth="1"/>
    <col min="2317" max="2388" width="13.375" style="2" customWidth="1"/>
    <col min="2389" max="2560" width="12.125" style="2"/>
    <col min="2561" max="2561" width="13.375" style="2" customWidth="1"/>
    <col min="2562" max="2562" width="17.125" style="2" customWidth="1"/>
    <col min="2563" max="2568" width="12.125" style="2"/>
    <col min="2569" max="2572" width="10.875" style="2" customWidth="1"/>
    <col min="2573" max="2644" width="13.375" style="2" customWidth="1"/>
    <col min="2645" max="2816" width="12.125" style="2"/>
    <col min="2817" max="2817" width="13.375" style="2" customWidth="1"/>
    <col min="2818" max="2818" width="17.125" style="2" customWidth="1"/>
    <col min="2819" max="2824" width="12.125" style="2"/>
    <col min="2825" max="2828" width="10.875" style="2" customWidth="1"/>
    <col min="2829" max="2900" width="13.375" style="2" customWidth="1"/>
    <col min="2901" max="3072" width="12.125" style="2"/>
    <col min="3073" max="3073" width="13.375" style="2" customWidth="1"/>
    <col min="3074" max="3074" width="17.125" style="2" customWidth="1"/>
    <col min="3075" max="3080" width="12.125" style="2"/>
    <col min="3081" max="3084" width="10.875" style="2" customWidth="1"/>
    <col min="3085" max="3156" width="13.375" style="2" customWidth="1"/>
    <col min="3157" max="3328" width="12.125" style="2"/>
    <col min="3329" max="3329" width="13.375" style="2" customWidth="1"/>
    <col min="3330" max="3330" width="17.125" style="2" customWidth="1"/>
    <col min="3331" max="3336" width="12.125" style="2"/>
    <col min="3337" max="3340" width="10.875" style="2" customWidth="1"/>
    <col min="3341" max="3412" width="13.375" style="2" customWidth="1"/>
    <col min="3413" max="3584" width="12.125" style="2"/>
    <col min="3585" max="3585" width="13.375" style="2" customWidth="1"/>
    <col min="3586" max="3586" width="17.125" style="2" customWidth="1"/>
    <col min="3587" max="3592" width="12.125" style="2"/>
    <col min="3593" max="3596" width="10.875" style="2" customWidth="1"/>
    <col min="3597" max="3668" width="13.375" style="2" customWidth="1"/>
    <col min="3669" max="3840" width="12.125" style="2"/>
    <col min="3841" max="3841" width="13.375" style="2" customWidth="1"/>
    <col min="3842" max="3842" width="17.125" style="2" customWidth="1"/>
    <col min="3843" max="3848" width="12.125" style="2"/>
    <col min="3849" max="3852" width="10.875" style="2" customWidth="1"/>
    <col min="3853" max="3924" width="13.375" style="2" customWidth="1"/>
    <col min="3925" max="4096" width="12.125" style="2"/>
    <col min="4097" max="4097" width="13.375" style="2" customWidth="1"/>
    <col min="4098" max="4098" width="17.125" style="2" customWidth="1"/>
    <col min="4099" max="4104" width="12.125" style="2"/>
    <col min="4105" max="4108" width="10.875" style="2" customWidth="1"/>
    <col min="4109" max="4180" width="13.375" style="2" customWidth="1"/>
    <col min="4181" max="4352" width="12.125" style="2"/>
    <col min="4353" max="4353" width="13.375" style="2" customWidth="1"/>
    <col min="4354" max="4354" width="17.125" style="2" customWidth="1"/>
    <col min="4355" max="4360" width="12.125" style="2"/>
    <col min="4361" max="4364" width="10.875" style="2" customWidth="1"/>
    <col min="4365" max="4436" width="13.375" style="2" customWidth="1"/>
    <col min="4437" max="4608" width="12.125" style="2"/>
    <col min="4609" max="4609" width="13.375" style="2" customWidth="1"/>
    <col min="4610" max="4610" width="17.125" style="2" customWidth="1"/>
    <col min="4611" max="4616" width="12.125" style="2"/>
    <col min="4617" max="4620" width="10.875" style="2" customWidth="1"/>
    <col min="4621" max="4692" width="13.375" style="2" customWidth="1"/>
    <col min="4693" max="4864" width="12.125" style="2"/>
    <col min="4865" max="4865" width="13.375" style="2" customWidth="1"/>
    <col min="4866" max="4866" width="17.125" style="2" customWidth="1"/>
    <col min="4867" max="4872" width="12.125" style="2"/>
    <col min="4873" max="4876" width="10.875" style="2" customWidth="1"/>
    <col min="4877" max="4948" width="13.375" style="2" customWidth="1"/>
    <col min="4949" max="5120" width="12.125" style="2"/>
    <col min="5121" max="5121" width="13.375" style="2" customWidth="1"/>
    <col min="5122" max="5122" width="17.125" style="2" customWidth="1"/>
    <col min="5123" max="5128" width="12.125" style="2"/>
    <col min="5129" max="5132" width="10.875" style="2" customWidth="1"/>
    <col min="5133" max="5204" width="13.375" style="2" customWidth="1"/>
    <col min="5205" max="5376" width="12.125" style="2"/>
    <col min="5377" max="5377" width="13.375" style="2" customWidth="1"/>
    <col min="5378" max="5378" width="17.125" style="2" customWidth="1"/>
    <col min="5379" max="5384" width="12.125" style="2"/>
    <col min="5385" max="5388" width="10.875" style="2" customWidth="1"/>
    <col min="5389" max="5460" width="13.375" style="2" customWidth="1"/>
    <col min="5461" max="5632" width="12.125" style="2"/>
    <col min="5633" max="5633" width="13.375" style="2" customWidth="1"/>
    <col min="5634" max="5634" width="17.125" style="2" customWidth="1"/>
    <col min="5635" max="5640" width="12.125" style="2"/>
    <col min="5641" max="5644" width="10.875" style="2" customWidth="1"/>
    <col min="5645" max="5716" width="13.375" style="2" customWidth="1"/>
    <col min="5717" max="5888" width="12.125" style="2"/>
    <col min="5889" max="5889" width="13.375" style="2" customWidth="1"/>
    <col min="5890" max="5890" width="17.125" style="2" customWidth="1"/>
    <col min="5891" max="5896" width="12.125" style="2"/>
    <col min="5897" max="5900" width="10.875" style="2" customWidth="1"/>
    <col min="5901" max="5972" width="13.375" style="2" customWidth="1"/>
    <col min="5973" max="6144" width="12.125" style="2"/>
    <col min="6145" max="6145" width="13.375" style="2" customWidth="1"/>
    <col min="6146" max="6146" width="17.125" style="2" customWidth="1"/>
    <col min="6147" max="6152" width="12.125" style="2"/>
    <col min="6153" max="6156" width="10.875" style="2" customWidth="1"/>
    <col min="6157" max="6228" width="13.375" style="2" customWidth="1"/>
    <col min="6229" max="6400" width="12.125" style="2"/>
    <col min="6401" max="6401" width="13.375" style="2" customWidth="1"/>
    <col min="6402" max="6402" width="17.125" style="2" customWidth="1"/>
    <col min="6403" max="6408" width="12.125" style="2"/>
    <col min="6409" max="6412" width="10.875" style="2" customWidth="1"/>
    <col min="6413" max="6484" width="13.375" style="2" customWidth="1"/>
    <col min="6485" max="6656" width="12.125" style="2"/>
    <col min="6657" max="6657" width="13.375" style="2" customWidth="1"/>
    <col min="6658" max="6658" width="17.125" style="2" customWidth="1"/>
    <col min="6659" max="6664" width="12.125" style="2"/>
    <col min="6665" max="6668" width="10.875" style="2" customWidth="1"/>
    <col min="6669" max="6740" width="13.375" style="2" customWidth="1"/>
    <col min="6741" max="6912" width="12.125" style="2"/>
    <col min="6913" max="6913" width="13.375" style="2" customWidth="1"/>
    <col min="6914" max="6914" width="17.125" style="2" customWidth="1"/>
    <col min="6915" max="6920" width="12.125" style="2"/>
    <col min="6921" max="6924" width="10.875" style="2" customWidth="1"/>
    <col min="6925" max="6996" width="13.375" style="2" customWidth="1"/>
    <col min="6997" max="7168" width="12.125" style="2"/>
    <col min="7169" max="7169" width="13.375" style="2" customWidth="1"/>
    <col min="7170" max="7170" width="17.125" style="2" customWidth="1"/>
    <col min="7171" max="7176" width="12.125" style="2"/>
    <col min="7177" max="7180" width="10.875" style="2" customWidth="1"/>
    <col min="7181" max="7252" width="13.375" style="2" customWidth="1"/>
    <col min="7253" max="7424" width="12.125" style="2"/>
    <col min="7425" max="7425" width="13.375" style="2" customWidth="1"/>
    <col min="7426" max="7426" width="17.125" style="2" customWidth="1"/>
    <col min="7427" max="7432" width="12.125" style="2"/>
    <col min="7433" max="7436" width="10.875" style="2" customWidth="1"/>
    <col min="7437" max="7508" width="13.375" style="2" customWidth="1"/>
    <col min="7509" max="7680" width="12.125" style="2"/>
    <col min="7681" max="7681" width="13.375" style="2" customWidth="1"/>
    <col min="7682" max="7682" width="17.125" style="2" customWidth="1"/>
    <col min="7683" max="7688" width="12.125" style="2"/>
    <col min="7689" max="7692" width="10.875" style="2" customWidth="1"/>
    <col min="7693" max="7764" width="13.375" style="2" customWidth="1"/>
    <col min="7765" max="7936" width="12.125" style="2"/>
    <col min="7937" max="7937" width="13.375" style="2" customWidth="1"/>
    <col min="7938" max="7938" width="17.125" style="2" customWidth="1"/>
    <col min="7939" max="7944" width="12.125" style="2"/>
    <col min="7945" max="7948" width="10.875" style="2" customWidth="1"/>
    <col min="7949" max="8020" width="13.375" style="2" customWidth="1"/>
    <col min="8021" max="8192" width="12.125" style="2"/>
    <col min="8193" max="8193" width="13.375" style="2" customWidth="1"/>
    <col min="8194" max="8194" width="17.125" style="2" customWidth="1"/>
    <col min="8195" max="8200" width="12.125" style="2"/>
    <col min="8201" max="8204" width="10.875" style="2" customWidth="1"/>
    <col min="8205" max="8276" width="13.375" style="2" customWidth="1"/>
    <col min="8277" max="8448" width="12.125" style="2"/>
    <col min="8449" max="8449" width="13.375" style="2" customWidth="1"/>
    <col min="8450" max="8450" width="17.125" style="2" customWidth="1"/>
    <col min="8451" max="8456" width="12.125" style="2"/>
    <col min="8457" max="8460" width="10.875" style="2" customWidth="1"/>
    <col min="8461" max="8532" width="13.375" style="2" customWidth="1"/>
    <col min="8533" max="8704" width="12.125" style="2"/>
    <col min="8705" max="8705" width="13.375" style="2" customWidth="1"/>
    <col min="8706" max="8706" width="17.125" style="2" customWidth="1"/>
    <col min="8707" max="8712" width="12.125" style="2"/>
    <col min="8713" max="8716" width="10.875" style="2" customWidth="1"/>
    <col min="8717" max="8788" width="13.375" style="2" customWidth="1"/>
    <col min="8789" max="8960" width="12.125" style="2"/>
    <col min="8961" max="8961" width="13.375" style="2" customWidth="1"/>
    <col min="8962" max="8962" width="17.125" style="2" customWidth="1"/>
    <col min="8963" max="8968" width="12.125" style="2"/>
    <col min="8969" max="8972" width="10.875" style="2" customWidth="1"/>
    <col min="8973" max="9044" width="13.375" style="2" customWidth="1"/>
    <col min="9045" max="9216" width="12.125" style="2"/>
    <col min="9217" max="9217" width="13.375" style="2" customWidth="1"/>
    <col min="9218" max="9218" width="17.125" style="2" customWidth="1"/>
    <col min="9219" max="9224" width="12.125" style="2"/>
    <col min="9225" max="9228" width="10.875" style="2" customWidth="1"/>
    <col min="9229" max="9300" width="13.375" style="2" customWidth="1"/>
    <col min="9301" max="9472" width="12.125" style="2"/>
    <col min="9473" max="9473" width="13.375" style="2" customWidth="1"/>
    <col min="9474" max="9474" width="17.125" style="2" customWidth="1"/>
    <col min="9475" max="9480" width="12.125" style="2"/>
    <col min="9481" max="9484" width="10.875" style="2" customWidth="1"/>
    <col min="9485" max="9556" width="13.375" style="2" customWidth="1"/>
    <col min="9557" max="9728" width="12.125" style="2"/>
    <col min="9729" max="9729" width="13.375" style="2" customWidth="1"/>
    <col min="9730" max="9730" width="17.125" style="2" customWidth="1"/>
    <col min="9731" max="9736" width="12.125" style="2"/>
    <col min="9737" max="9740" width="10.875" style="2" customWidth="1"/>
    <col min="9741" max="9812" width="13.375" style="2" customWidth="1"/>
    <col min="9813" max="9984" width="12.125" style="2"/>
    <col min="9985" max="9985" width="13.375" style="2" customWidth="1"/>
    <col min="9986" max="9986" width="17.125" style="2" customWidth="1"/>
    <col min="9987" max="9992" width="12.125" style="2"/>
    <col min="9993" max="9996" width="10.875" style="2" customWidth="1"/>
    <col min="9997" max="10068" width="13.375" style="2" customWidth="1"/>
    <col min="10069" max="10240" width="12.125" style="2"/>
    <col min="10241" max="10241" width="13.375" style="2" customWidth="1"/>
    <col min="10242" max="10242" width="17.125" style="2" customWidth="1"/>
    <col min="10243" max="10248" width="12.125" style="2"/>
    <col min="10249" max="10252" width="10.875" style="2" customWidth="1"/>
    <col min="10253" max="10324" width="13.375" style="2" customWidth="1"/>
    <col min="10325" max="10496" width="12.125" style="2"/>
    <col min="10497" max="10497" width="13.375" style="2" customWidth="1"/>
    <col min="10498" max="10498" width="17.125" style="2" customWidth="1"/>
    <col min="10499" max="10504" width="12.125" style="2"/>
    <col min="10505" max="10508" width="10.875" style="2" customWidth="1"/>
    <col min="10509" max="10580" width="13.375" style="2" customWidth="1"/>
    <col min="10581" max="10752" width="12.125" style="2"/>
    <col min="10753" max="10753" width="13.375" style="2" customWidth="1"/>
    <col min="10754" max="10754" width="17.125" style="2" customWidth="1"/>
    <col min="10755" max="10760" width="12.125" style="2"/>
    <col min="10761" max="10764" width="10.875" style="2" customWidth="1"/>
    <col min="10765" max="10836" width="13.375" style="2" customWidth="1"/>
    <col min="10837" max="11008" width="12.125" style="2"/>
    <col min="11009" max="11009" width="13.375" style="2" customWidth="1"/>
    <col min="11010" max="11010" width="17.125" style="2" customWidth="1"/>
    <col min="11011" max="11016" width="12.125" style="2"/>
    <col min="11017" max="11020" width="10.875" style="2" customWidth="1"/>
    <col min="11021" max="11092" width="13.375" style="2" customWidth="1"/>
    <col min="11093" max="11264" width="12.125" style="2"/>
    <col min="11265" max="11265" width="13.375" style="2" customWidth="1"/>
    <col min="11266" max="11266" width="17.125" style="2" customWidth="1"/>
    <col min="11267" max="11272" width="12.125" style="2"/>
    <col min="11273" max="11276" width="10.875" style="2" customWidth="1"/>
    <col min="11277" max="11348" width="13.375" style="2" customWidth="1"/>
    <col min="11349" max="11520" width="12.125" style="2"/>
    <col min="11521" max="11521" width="13.375" style="2" customWidth="1"/>
    <col min="11522" max="11522" width="17.125" style="2" customWidth="1"/>
    <col min="11523" max="11528" width="12.125" style="2"/>
    <col min="11529" max="11532" width="10.875" style="2" customWidth="1"/>
    <col min="11533" max="11604" width="13.375" style="2" customWidth="1"/>
    <col min="11605" max="11776" width="12.125" style="2"/>
    <col min="11777" max="11777" width="13.375" style="2" customWidth="1"/>
    <col min="11778" max="11778" width="17.125" style="2" customWidth="1"/>
    <col min="11779" max="11784" width="12.125" style="2"/>
    <col min="11785" max="11788" width="10.875" style="2" customWidth="1"/>
    <col min="11789" max="11860" width="13.375" style="2" customWidth="1"/>
    <col min="11861" max="12032" width="12.125" style="2"/>
    <col min="12033" max="12033" width="13.375" style="2" customWidth="1"/>
    <col min="12034" max="12034" width="17.125" style="2" customWidth="1"/>
    <col min="12035" max="12040" width="12.125" style="2"/>
    <col min="12041" max="12044" width="10.875" style="2" customWidth="1"/>
    <col min="12045" max="12116" width="13.375" style="2" customWidth="1"/>
    <col min="12117" max="12288" width="12.125" style="2"/>
    <col min="12289" max="12289" width="13.375" style="2" customWidth="1"/>
    <col min="12290" max="12290" width="17.125" style="2" customWidth="1"/>
    <col min="12291" max="12296" width="12.125" style="2"/>
    <col min="12297" max="12300" width="10.875" style="2" customWidth="1"/>
    <col min="12301" max="12372" width="13.375" style="2" customWidth="1"/>
    <col min="12373" max="12544" width="12.125" style="2"/>
    <col min="12545" max="12545" width="13.375" style="2" customWidth="1"/>
    <col min="12546" max="12546" width="17.125" style="2" customWidth="1"/>
    <col min="12547" max="12552" width="12.125" style="2"/>
    <col min="12553" max="12556" width="10.875" style="2" customWidth="1"/>
    <col min="12557" max="12628" width="13.375" style="2" customWidth="1"/>
    <col min="12629" max="12800" width="12.125" style="2"/>
    <col min="12801" max="12801" width="13.375" style="2" customWidth="1"/>
    <col min="12802" max="12802" width="17.125" style="2" customWidth="1"/>
    <col min="12803" max="12808" width="12.125" style="2"/>
    <col min="12809" max="12812" width="10.875" style="2" customWidth="1"/>
    <col min="12813" max="12884" width="13.375" style="2" customWidth="1"/>
    <col min="12885" max="13056" width="12.125" style="2"/>
    <col min="13057" max="13057" width="13.375" style="2" customWidth="1"/>
    <col min="13058" max="13058" width="17.125" style="2" customWidth="1"/>
    <col min="13059" max="13064" width="12.125" style="2"/>
    <col min="13065" max="13068" width="10.875" style="2" customWidth="1"/>
    <col min="13069" max="13140" width="13.375" style="2" customWidth="1"/>
    <col min="13141" max="13312" width="12.125" style="2"/>
    <col min="13313" max="13313" width="13.375" style="2" customWidth="1"/>
    <col min="13314" max="13314" width="17.125" style="2" customWidth="1"/>
    <col min="13315" max="13320" width="12.125" style="2"/>
    <col min="13321" max="13324" width="10.875" style="2" customWidth="1"/>
    <col min="13325" max="13396" width="13.375" style="2" customWidth="1"/>
    <col min="13397" max="13568" width="12.125" style="2"/>
    <col min="13569" max="13569" width="13.375" style="2" customWidth="1"/>
    <col min="13570" max="13570" width="17.125" style="2" customWidth="1"/>
    <col min="13571" max="13576" width="12.125" style="2"/>
    <col min="13577" max="13580" width="10.875" style="2" customWidth="1"/>
    <col min="13581" max="13652" width="13.375" style="2" customWidth="1"/>
    <col min="13653" max="13824" width="12.125" style="2"/>
    <col min="13825" max="13825" width="13.375" style="2" customWidth="1"/>
    <col min="13826" max="13826" width="17.125" style="2" customWidth="1"/>
    <col min="13827" max="13832" width="12.125" style="2"/>
    <col min="13833" max="13836" width="10.875" style="2" customWidth="1"/>
    <col min="13837" max="13908" width="13.375" style="2" customWidth="1"/>
    <col min="13909" max="14080" width="12.125" style="2"/>
    <col min="14081" max="14081" width="13.375" style="2" customWidth="1"/>
    <col min="14082" max="14082" width="17.125" style="2" customWidth="1"/>
    <col min="14083" max="14088" width="12.125" style="2"/>
    <col min="14089" max="14092" width="10.875" style="2" customWidth="1"/>
    <col min="14093" max="14164" width="13.375" style="2" customWidth="1"/>
    <col min="14165" max="14336" width="12.125" style="2"/>
    <col min="14337" max="14337" width="13.375" style="2" customWidth="1"/>
    <col min="14338" max="14338" width="17.125" style="2" customWidth="1"/>
    <col min="14339" max="14344" width="12.125" style="2"/>
    <col min="14345" max="14348" width="10.875" style="2" customWidth="1"/>
    <col min="14349" max="14420" width="13.375" style="2" customWidth="1"/>
    <col min="14421" max="14592" width="12.125" style="2"/>
    <col min="14593" max="14593" width="13.375" style="2" customWidth="1"/>
    <col min="14594" max="14594" width="17.125" style="2" customWidth="1"/>
    <col min="14595" max="14600" width="12.125" style="2"/>
    <col min="14601" max="14604" width="10.875" style="2" customWidth="1"/>
    <col min="14605" max="14676" width="13.375" style="2" customWidth="1"/>
    <col min="14677" max="14848" width="12.125" style="2"/>
    <col min="14849" max="14849" width="13.375" style="2" customWidth="1"/>
    <col min="14850" max="14850" width="17.125" style="2" customWidth="1"/>
    <col min="14851" max="14856" width="12.125" style="2"/>
    <col min="14857" max="14860" width="10.875" style="2" customWidth="1"/>
    <col min="14861" max="14932" width="13.375" style="2" customWidth="1"/>
    <col min="14933" max="15104" width="12.125" style="2"/>
    <col min="15105" max="15105" width="13.375" style="2" customWidth="1"/>
    <col min="15106" max="15106" width="17.125" style="2" customWidth="1"/>
    <col min="15107" max="15112" width="12.125" style="2"/>
    <col min="15113" max="15116" width="10.875" style="2" customWidth="1"/>
    <col min="15117" max="15188" width="13.375" style="2" customWidth="1"/>
    <col min="15189" max="15360" width="12.125" style="2"/>
    <col min="15361" max="15361" width="13.375" style="2" customWidth="1"/>
    <col min="15362" max="15362" width="17.125" style="2" customWidth="1"/>
    <col min="15363" max="15368" width="12.125" style="2"/>
    <col min="15369" max="15372" width="10.875" style="2" customWidth="1"/>
    <col min="15373" max="15444" width="13.375" style="2" customWidth="1"/>
    <col min="15445" max="15616" width="12.125" style="2"/>
    <col min="15617" max="15617" width="13.375" style="2" customWidth="1"/>
    <col min="15618" max="15618" width="17.125" style="2" customWidth="1"/>
    <col min="15619" max="15624" width="12.125" style="2"/>
    <col min="15625" max="15628" width="10.875" style="2" customWidth="1"/>
    <col min="15629" max="15700" width="13.375" style="2" customWidth="1"/>
    <col min="15701" max="15872" width="12.125" style="2"/>
    <col min="15873" max="15873" width="13.375" style="2" customWidth="1"/>
    <col min="15874" max="15874" width="17.125" style="2" customWidth="1"/>
    <col min="15875" max="15880" width="12.125" style="2"/>
    <col min="15881" max="15884" width="10.875" style="2" customWidth="1"/>
    <col min="15885" max="15956" width="13.375" style="2" customWidth="1"/>
    <col min="15957" max="16128" width="12.125" style="2"/>
    <col min="16129" max="16129" width="13.375" style="2" customWidth="1"/>
    <col min="16130" max="16130" width="17.125" style="2" customWidth="1"/>
    <col min="16131" max="16136" width="12.125" style="2"/>
    <col min="16137" max="16140" width="10.875" style="2" customWidth="1"/>
    <col min="16141" max="16212" width="13.375" style="2" customWidth="1"/>
    <col min="16213" max="16384" width="12.125" style="2"/>
  </cols>
  <sheetData>
    <row r="1" spans="1:13" x14ac:dyDescent="0.2">
      <c r="A1" s="1"/>
    </row>
    <row r="6" spans="1:13" x14ac:dyDescent="0.2">
      <c r="E6" s="4" t="s">
        <v>622</v>
      </c>
    </row>
    <row r="7" spans="1:13" x14ac:dyDescent="0.2">
      <c r="B7" s="21"/>
      <c r="C7" s="4" t="s">
        <v>623</v>
      </c>
      <c r="D7" s="21"/>
      <c r="E7" s="21"/>
      <c r="F7" s="21"/>
      <c r="G7" s="21"/>
      <c r="H7" s="21"/>
      <c r="K7" s="21"/>
    </row>
    <row r="8" spans="1:13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7" t="s">
        <v>624</v>
      </c>
      <c r="L8" s="6"/>
    </row>
    <row r="9" spans="1:13" x14ac:dyDescent="0.2">
      <c r="C9" s="10"/>
      <c r="D9" s="10"/>
      <c r="E9" s="10"/>
      <c r="F9" s="12"/>
      <c r="G9" s="12"/>
      <c r="H9" s="12"/>
      <c r="I9" s="12"/>
      <c r="J9" s="12"/>
      <c r="K9" s="12"/>
      <c r="L9" s="10"/>
      <c r="M9" s="3"/>
    </row>
    <row r="10" spans="1:13" x14ac:dyDescent="0.2">
      <c r="C10" s="16" t="s">
        <v>625</v>
      </c>
      <c r="D10" s="16" t="s">
        <v>626</v>
      </c>
      <c r="E10" s="16" t="s">
        <v>627</v>
      </c>
      <c r="F10" s="10"/>
      <c r="G10" s="10"/>
      <c r="H10" s="16" t="s">
        <v>628</v>
      </c>
      <c r="I10" s="10"/>
      <c r="J10" s="16" t="s">
        <v>629</v>
      </c>
      <c r="K10" s="10"/>
      <c r="L10" s="16" t="s">
        <v>630</v>
      </c>
      <c r="M10" s="3"/>
    </row>
    <row r="11" spans="1:13" x14ac:dyDescent="0.2">
      <c r="B11" s="12"/>
      <c r="C11" s="14"/>
      <c r="D11" s="14"/>
      <c r="E11" s="17" t="s">
        <v>631</v>
      </c>
      <c r="F11" s="17" t="s">
        <v>632</v>
      </c>
      <c r="G11" s="17" t="s">
        <v>633</v>
      </c>
      <c r="H11" s="17" t="s">
        <v>634</v>
      </c>
      <c r="I11" s="17" t="s">
        <v>635</v>
      </c>
      <c r="J11" s="29" t="s">
        <v>636</v>
      </c>
      <c r="K11" s="17" t="s">
        <v>637</v>
      </c>
      <c r="L11" s="14"/>
      <c r="M11" s="3"/>
    </row>
    <row r="12" spans="1:13" x14ac:dyDescent="0.2">
      <c r="C12" s="10"/>
    </row>
    <row r="13" spans="1:13" x14ac:dyDescent="0.2">
      <c r="B13" s="1" t="s">
        <v>638</v>
      </c>
      <c r="C13" s="28">
        <v>8779</v>
      </c>
      <c r="D13" s="5">
        <v>283</v>
      </c>
      <c r="E13" s="5">
        <v>1471</v>
      </c>
      <c r="F13" s="5">
        <v>646</v>
      </c>
      <c r="G13" s="19" t="s">
        <v>139</v>
      </c>
      <c r="H13" s="19" t="s">
        <v>139</v>
      </c>
      <c r="I13" s="19" t="s">
        <v>139</v>
      </c>
      <c r="J13" s="5">
        <v>83</v>
      </c>
      <c r="K13" s="5">
        <v>87</v>
      </c>
      <c r="L13" s="5">
        <v>69</v>
      </c>
    </row>
    <row r="14" spans="1:13" x14ac:dyDescent="0.2">
      <c r="B14" s="1" t="s">
        <v>639</v>
      </c>
      <c r="C14" s="28">
        <v>8803</v>
      </c>
      <c r="D14" s="5">
        <v>223</v>
      </c>
      <c r="E14" s="5">
        <v>1500</v>
      </c>
      <c r="F14" s="5">
        <v>657</v>
      </c>
      <c r="G14" s="19" t="s">
        <v>139</v>
      </c>
      <c r="H14" s="19" t="s">
        <v>139</v>
      </c>
      <c r="I14" s="19" t="s">
        <v>139</v>
      </c>
      <c r="J14" s="5">
        <v>115</v>
      </c>
      <c r="K14" s="5">
        <v>91</v>
      </c>
      <c r="L14" s="5">
        <v>97</v>
      </c>
    </row>
    <row r="15" spans="1:13" x14ac:dyDescent="0.2">
      <c r="B15" s="1" t="s">
        <v>640</v>
      </c>
      <c r="C15" s="28">
        <v>8423</v>
      </c>
      <c r="D15" s="5">
        <v>158</v>
      </c>
      <c r="E15" s="5">
        <v>1653</v>
      </c>
      <c r="F15" s="5">
        <v>645</v>
      </c>
      <c r="G15" s="19" t="s">
        <v>139</v>
      </c>
      <c r="H15" s="19" t="s">
        <v>139</v>
      </c>
      <c r="I15" s="19" t="s">
        <v>139</v>
      </c>
      <c r="J15" s="5">
        <v>165</v>
      </c>
      <c r="K15" s="5">
        <v>80</v>
      </c>
      <c r="L15" s="5">
        <v>117</v>
      </c>
    </row>
    <row r="16" spans="1:13" x14ac:dyDescent="0.2">
      <c r="C16" s="10"/>
    </row>
    <row r="17" spans="2:12" x14ac:dyDescent="0.2">
      <c r="B17" s="1" t="s">
        <v>641</v>
      </c>
      <c r="C17" s="28">
        <v>8721</v>
      </c>
      <c r="D17" s="5">
        <v>99</v>
      </c>
      <c r="E17" s="5">
        <v>1953</v>
      </c>
      <c r="F17" s="5">
        <v>640</v>
      </c>
      <c r="G17" s="19" t="s">
        <v>139</v>
      </c>
      <c r="H17" s="19" t="s">
        <v>139</v>
      </c>
      <c r="I17" s="19" t="s">
        <v>139</v>
      </c>
      <c r="J17" s="5">
        <v>266</v>
      </c>
      <c r="K17" s="5">
        <v>73</v>
      </c>
      <c r="L17" s="5">
        <v>88</v>
      </c>
    </row>
    <row r="18" spans="2:12" x14ac:dyDescent="0.2">
      <c r="B18" s="1" t="s">
        <v>642</v>
      </c>
      <c r="C18" s="28">
        <v>8921</v>
      </c>
      <c r="D18" s="5">
        <v>59</v>
      </c>
      <c r="E18" s="5">
        <v>2140</v>
      </c>
      <c r="F18" s="5">
        <v>617</v>
      </c>
      <c r="G18" s="19" t="s">
        <v>139</v>
      </c>
      <c r="H18" s="19" t="s">
        <v>139</v>
      </c>
      <c r="I18" s="19" t="s">
        <v>139</v>
      </c>
      <c r="J18" s="5">
        <v>345</v>
      </c>
      <c r="K18" s="5">
        <v>61</v>
      </c>
      <c r="L18" s="5">
        <v>113</v>
      </c>
    </row>
    <row r="19" spans="2:12" x14ac:dyDescent="0.2">
      <c r="C19" s="28"/>
      <c r="F19" s="5"/>
      <c r="G19" s="5"/>
      <c r="H19" s="5"/>
      <c r="I19" s="5"/>
      <c r="J19" s="5"/>
      <c r="K19" s="5"/>
      <c r="L19" s="5"/>
    </row>
    <row r="20" spans="2:12" x14ac:dyDescent="0.2">
      <c r="B20" s="1" t="s">
        <v>643</v>
      </c>
      <c r="C20" s="28">
        <v>9281</v>
      </c>
      <c r="D20" s="5">
        <v>37</v>
      </c>
      <c r="E20" s="5">
        <v>2392</v>
      </c>
      <c r="F20" s="5">
        <v>562</v>
      </c>
      <c r="G20" s="19" t="s">
        <v>139</v>
      </c>
      <c r="H20" s="19" t="s">
        <v>139</v>
      </c>
      <c r="I20" s="19" t="s">
        <v>139</v>
      </c>
      <c r="J20" s="5">
        <v>438</v>
      </c>
      <c r="K20" s="5">
        <v>42</v>
      </c>
      <c r="L20" s="5">
        <v>98</v>
      </c>
    </row>
    <row r="21" spans="2:12" x14ac:dyDescent="0.2">
      <c r="B21" s="1" t="s">
        <v>644</v>
      </c>
      <c r="C21" s="28">
        <v>9387</v>
      </c>
      <c r="D21" s="5">
        <v>30</v>
      </c>
      <c r="E21" s="5">
        <v>2482</v>
      </c>
      <c r="F21" s="5">
        <v>589</v>
      </c>
      <c r="G21" s="19" t="s">
        <v>139</v>
      </c>
      <c r="H21" s="19" t="s">
        <v>139</v>
      </c>
      <c r="I21" s="19" t="s">
        <v>139</v>
      </c>
      <c r="J21" s="5">
        <v>460</v>
      </c>
      <c r="K21" s="5">
        <v>61</v>
      </c>
      <c r="L21" s="5">
        <v>90</v>
      </c>
    </row>
    <row r="22" spans="2:12" x14ac:dyDescent="0.2">
      <c r="B22" s="1" t="s">
        <v>645</v>
      </c>
      <c r="C22" s="28">
        <v>9641</v>
      </c>
      <c r="D22" s="5">
        <v>49</v>
      </c>
      <c r="E22" s="5">
        <v>2471</v>
      </c>
      <c r="F22" s="5">
        <v>558</v>
      </c>
      <c r="G22" s="19" t="s">
        <v>139</v>
      </c>
      <c r="H22" s="19" t="s">
        <v>139</v>
      </c>
      <c r="I22" s="19" t="s">
        <v>139</v>
      </c>
      <c r="J22" s="5">
        <v>473</v>
      </c>
      <c r="K22" s="5">
        <v>60</v>
      </c>
      <c r="L22" s="5">
        <v>103</v>
      </c>
    </row>
    <row r="23" spans="2:12" x14ac:dyDescent="0.2">
      <c r="B23" s="1" t="s">
        <v>646</v>
      </c>
      <c r="C23" s="28">
        <v>9741</v>
      </c>
      <c r="D23" s="5">
        <v>31</v>
      </c>
      <c r="E23" s="5">
        <v>2589</v>
      </c>
      <c r="F23" s="5">
        <v>539</v>
      </c>
      <c r="G23" s="19" t="s">
        <v>139</v>
      </c>
      <c r="H23" s="19" t="s">
        <v>139</v>
      </c>
      <c r="I23" s="19" t="s">
        <v>139</v>
      </c>
      <c r="J23" s="5">
        <v>470</v>
      </c>
      <c r="K23" s="5">
        <v>49</v>
      </c>
      <c r="L23" s="5">
        <v>92</v>
      </c>
    </row>
    <row r="24" spans="2:12" x14ac:dyDescent="0.2">
      <c r="C24" s="10"/>
    </row>
    <row r="25" spans="2:12" x14ac:dyDescent="0.2">
      <c r="B25" s="1" t="s">
        <v>647</v>
      </c>
      <c r="C25" s="28">
        <v>9653</v>
      </c>
      <c r="D25" s="5">
        <v>37</v>
      </c>
      <c r="E25" s="5">
        <v>2556</v>
      </c>
      <c r="F25" s="5">
        <v>546</v>
      </c>
      <c r="G25" s="19" t="s">
        <v>139</v>
      </c>
      <c r="H25" s="19" t="s">
        <v>139</v>
      </c>
      <c r="I25" s="19" t="s">
        <v>139</v>
      </c>
      <c r="J25" s="5">
        <v>483</v>
      </c>
      <c r="K25" s="5">
        <v>59</v>
      </c>
      <c r="L25" s="5">
        <v>118</v>
      </c>
    </row>
    <row r="26" spans="2:12" x14ac:dyDescent="0.2">
      <c r="B26" s="1" t="s">
        <v>648</v>
      </c>
      <c r="C26" s="28">
        <v>10064</v>
      </c>
      <c r="D26" s="5">
        <v>44</v>
      </c>
      <c r="E26" s="5">
        <v>2731</v>
      </c>
      <c r="F26" s="5">
        <v>527</v>
      </c>
      <c r="G26" s="5">
        <v>171</v>
      </c>
      <c r="H26" s="5">
        <v>394</v>
      </c>
      <c r="I26" s="5">
        <v>178</v>
      </c>
      <c r="J26" s="5">
        <v>506</v>
      </c>
      <c r="K26" s="5">
        <v>46</v>
      </c>
      <c r="L26" s="5">
        <v>162</v>
      </c>
    </row>
    <row r="27" spans="2:12" x14ac:dyDescent="0.2">
      <c r="B27" s="1" t="s">
        <v>649</v>
      </c>
      <c r="C27" s="28">
        <v>9747</v>
      </c>
      <c r="D27" s="5">
        <v>33</v>
      </c>
      <c r="E27" s="5">
        <v>2902</v>
      </c>
      <c r="F27" s="5">
        <v>539</v>
      </c>
      <c r="G27" s="5">
        <v>202</v>
      </c>
      <c r="H27" s="5">
        <v>449</v>
      </c>
      <c r="I27" s="5">
        <v>185</v>
      </c>
      <c r="J27" s="5">
        <v>564</v>
      </c>
      <c r="K27" s="5">
        <v>51</v>
      </c>
      <c r="L27" s="5">
        <v>137</v>
      </c>
    </row>
    <row r="28" spans="2:12" x14ac:dyDescent="0.2">
      <c r="B28" s="4" t="s">
        <v>650</v>
      </c>
      <c r="C28" s="30">
        <v>9770</v>
      </c>
      <c r="D28" s="26">
        <v>25</v>
      </c>
      <c r="E28" s="26">
        <v>2890</v>
      </c>
      <c r="F28" s="26">
        <v>533</v>
      </c>
      <c r="G28" s="26">
        <v>179</v>
      </c>
      <c r="H28" s="26">
        <v>435</v>
      </c>
      <c r="I28" s="26">
        <v>189</v>
      </c>
      <c r="J28" s="26">
        <v>569</v>
      </c>
      <c r="K28" s="26">
        <v>52</v>
      </c>
      <c r="L28" s="26">
        <v>129</v>
      </c>
    </row>
    <row r="29" spans="2:12" ht="18" thickBot="1" x14ac:dyDescent="0.25">
      <c r="B29" s="6"/>
      <c r="C29" s="23"/>
      <c r="D29" s="6"/>
      <c r="E29" s="6"/>
      <c r="F29" s="6"/>
      <c r="G29" s="6"/>
      <c r="H29" s="6"/>
      <c r="I29" s="6"/>
      <c r="J29" s="6"/>
      <c r="K29" s="6"/>
      <c r="L29" s="6"/>
    </row>
    <row r="30" spans="2:12" x14ac:dyDescent="0.2">
      <c r="C30" s="10"/>
      <c r="D30" s="10"/>
      <c r="E30" s="12"/>
      <c r="F30" s="12"/>
      <c r="G30" s="12"/>
      <c r="H30" s="10"/>
      <c r="I30" s="12"/>
      <c r="J30" s="12"/>
      <c r="K30" s="12"/>
      <c r="L30" s="10"/>
    </row>
    <row r="31" spans="2:12" x14ac:dyDescent="0.2">
      <c r="C31" s="16" t="s">
        <v>651</v>
      </c>
      <c r="D31" s="10"/>
      <c r="E31" s="16" t="s">
        <v>652</v>
      </c>
      <c r="F31" s="16" t="s">
        <v>653</v>
      </c>
      <c r="G31" s="10"/>
      <c r="H31" s="16" t="s">
        <v>654</v>
      </c>
      <c r="I31" s="16" t="s">
        <v>655</v>
      </c>
      <c r="J31" s="16" t="s">
        <v>656</v>
      </c>
      <c r="K31" s="10"/>
      <c r="L31" s="13" t="s">
        <v>657</v>
      </c>
    </row>
    <row r="32" spans="2:12" x14ac:dyDescent="0.2">
      <c r="B32" s="12"/>
      <c r="C32" s="17" t="s">
        <v>658</v>
      </c>
      <c r="D32" s="17" t="s">
        <v>659</v>
      </c>
      <c r="E32" s="29" t="s">
        <v>660</v>
      </c>
      <c r="F32" s="29" t="s">
        <v>661</v>
      </c>
      <c r="G32" s="17" t="s">
        <v>662</v>
      </c>
      <c r="H32" s="17" t="s">
        <v>658</v>
      </c>
      <c r="I32" s="17" t="s">
        <v>663</v>
      </c>
      <c r="J32" s="17" t="s">
        <v>664</v>
      </c>
      <c r="K32" s="17" t="s">
        <v>665</v>
      </c>
      <c r="L32" s="29" t="s">
        <v>666</v>
      </c>
    </row>
    <row r="33" spans="2:12" x14ac:dyDescent="0.2">
      <c r="C33" s="10"/>
    </row>
    <row r="34" spans="2:12" x14ac:dyDescent="0.2">
      <c r="B34" s="1" t="s">
        <v>638</v>
      </c>
      <c r="C34" s="28">
        <v>199</v>
      </c>
      <c r="D34" s="5">
        <v>857</v>
      </c>
      <c r="E34" s="19" t="s">
        <v>139</v>
      </c>
      <c r="F34" s="19" t="s">
        <v>139</v>
      </c>
      <c r="G34" s="19" t="s">
        <v>139</v>
      </c>
      <c r="H34" s="5">
        <v>1941</v>
      </c>
      <c r="I34" s="19" t="s">
        <v>139</v>
      </c>
      <c r="J34" s="19" t="s">
        <v>139</v>
      </c>
      <c r="K34" s="19" t="s">
        <v>139</v>
      </c>
      <c r="L34" s="19" t="s">
        <v>139</v>
      </c>
    </row>
    <row r="35" spans="2:12" x14ac:dyDescent="0.2">
      <c r="B35" s="1" t="s">
        <v>639</v>
      </c>
      <c r="C35" s="28">
        <v>172</v>
      </c>
      <c r="D35" s="5">
        <v>1023</v>
      </c>
      <c r="E35" s="19" t="s">
        <v>139</v>
      </c>
      <c r="F35" s="19" t="s">
        <v>139</v>
      </c>
      <c r="G35" s="19" t="s">
        <v>139</v>
      </c>
      <c r="H35" s="5">
        <v>2049</v>
      </c>
      <c r="I35" s="19" t="s">
        <v>139</v>
      </c>
      <c r="J35" s="19" t="s">
        <v>139</v>
      </c>
      <c r="K35" s="19" t="s">
        <v>139</v>
      </c>
      <c r="L35" s="19" t="s">
        <v>139</v>
      </c>
    </row>
    <row r="36" spans="2:12" x14ac:dyDescent="0.2">
      <c r="B36" s="1" t="s">
        <v>640</v>
      </c>
      <c r="C36" s="28">
        <v>160</v>
      </c>
      <c r="D36" s="5">
        <v>1206</v>
      </c>
      <c r="E36" s="19" t="s">
        <v>139</v>
      </c>
      <c r="F36" s="19" t="s">
        <v>139</v>
      </c>
      <c r="G36" s="19" t="s">
        <v>139</v>
      </c>
      <c r="H36" s="5">
        <v>1915</v>
      </c>
      <c r="I36" s="19" t="s">
        <v>139</v>
      </c>
      <c r="J36" s="19" t="s">
        <v>139</v>
      </c>
      <c r="K36" s="19" t="s">
        <v>139</v>
      </c>
      <c r="L36" s="19" t="s">
        <v>139</v>
      </c>
    </row>
    <row r="37" spans="2:12" x14ac:dyDescent="0.2">
      <c r="C37" s="10"/>
    </row>
    <row r="38" spans="2:12" x14ac:dyDescent="0.2">
      <c r="B38" s="1" t="s">
        <v>641</v>
      </c>
      <c r="C38" s="28">
        <v>178</v>
      </c>
      <c r="D38" s="5">
        <v>1645</v>
      </c>
      <c r="E38" s="19" t="s">
        <v>139</v>
      </c>
      <c r="F38" s="19" t="s">
        <v>139</v>
      </c>
      <c r="G38" s="19" t="s">
        <v>139</v>
      </c>
      <c r="H38" s="5">
        <v>1850</v>
      </c>
      <c r="I38" s="19" t="s">
        <v>139</v>
      </c>
      <c r="J38" s="19" t="s">
        <v>139</v>
      </c>
      <c r="K38" s="19" t="s">
        <v>139</v>
      </c>
      <c r="L38" s="19" t="s">
        <v>139</v>
      </c>
    </row>
    <row r="39" spans="2:12" x14ac:dyDescent="0.2">
      <c r="B39" s="1" t="s">
        <v>642</v>
      </c>
      <c r="C39" s="28">
        <v>121</v>
      </c>
      <c r="D39" s="5">
        <v>1858</v>
      </c>
      <c r="E39" s="19" t="s">
        <v>139</v>
      </c>
      <c r="F39" s="19" t="s">
        <v>139</v>
      </c>
      <c r="G39" s="5">
        <v>1182</v>
      </c>
      <c r="H39" s="5">
        <v>1597</v>
      </c>
      <c r="I39" s="19" t="s">
        <v>139</v>
      </c>
      <c r="J39" s="19" t="s">
        <v>139</v>
      </c>
      <c r="K39" s="5">
        <v>833</v>
      </c>
      <c r="L39" s="19" t="s">
        <v>139</v>
      </c>
    </row>
    <row r="40" spans="2:12" x14ac:dyDescent="0.2">
      <c r="C40" s="10"/>
      <c r="E40" s="5"/>
      <c r="F40" s="5"/>
      <c r="G40" s="5"/>
      <c r="I40" s="5"/>
      <c r="J40" s="5"/>
      <c r="K40" s="5"/>
      <c r="L40" s="5"/>
    </row>
    <row r="41" spans="2:12" x14ac:dyDescent="0.2">
      <c r="B41" s="1" t="s">
        <v>643</v>
      </c>
      <c r="C41" s="28">
        <v>81</v>
      </c>
      <c r="D41" s="5">
        <v>2011</v>
      </c>
      <c r="E41" s="19" t="s">
        <v>139</v>
      </c>
      <c r="F41" s="19" t="s">
        <v>139</v>
      </c>
      <c r="G41" s="5">
        <v>1305</v>
      </c>
      <c r="H41" s="5">
        <v>1418</v>
      </c>
      <c r="I41" s="19" t="s">
        <v>139</v>
      </c>
      <c r="J41" s="19" t="s">
        <v>139</v>
      </c>
      <c r="K41" s="5">
        <v>803</v>
      </c>
      <c r="L41" s="19" t="s">
        <v>139</v>
      </c>
    </row>
    <row r="42" spans="2:12" x14ac:dyDescent="0.2">
      <c r="B42" s="1" t="s">
        <v>644</v>
      </c>
      <c r="C42" s="28">
        <v>87</v>
      </c>
      <c r="D42" s="5">
        <v>2050</v>
      </c>
      <c r="E42" s="19" t="s">
        <v>139</v>
      </c>
      <c r="F42" s="19" t="s">
        <v>139</v>
      </c>
      <c r="G42" s="5">
        <v>1354</v>
      </c>
      <c r="H42" s="5">
        <v>1385</v>
      </c>
      <c r="I42" s="19" t="s">
        <v>139</v>
      </c>
      <c r="J42" s="19" t="s">
        <v>139</v>
      </c>
      <c r="K42" s="5">
        <v>785</v>
      </c>
      <c r="L42" s="19" t="s">
        <v>139</v>
      </c>
    </row>
    <row r="43" spans="2:12" x14ac:dyDescent="0.2">
      <c r="B43" s="1" t="s">
        <v>645</v>
      </c>
      <c r="C43" s="28">
        <v>98</v>
      </c>
      <c r="D43" s="5">
        <v>2196</v>
      </c>
      <c r="E43" s="19" t="s">
        <v>139</v>
      </c>
      <c r="F43" s="19" t="s">
        <v>139</v>
      </c>
      <c r="G43" s="5">
        <v>1480</v>
      </c>
      <c r="H43" s="5">
        <v>1315</v>
      </c>
      <c r="I43" s="19" t="s">
        <v>139</v>
      </c>
      <c r="J43" s="19" t="s">
        <v>139</v>
      </c>
      <c r="K43" s="5">
        <v>733</v>
      </c>
      <c r="L43" s="19" t="s">
        <v>139</v>
      </c>
    </row>
    <row r="44" spans="2:12" x14ac:dyDescent="0.2">
      <c r="B44" s="1" t="s">
        <v>646</v>
      </c>
      <c r="C44" s="28">
        <v>87</v>
      </c>
      <c r="D44" s="5">
        <v>2266</v>
      </c>
      <c r="E44" s="19" t="s">
        <v>139</v>
      </c>
      <c r="F44" s="19" t="s">
        <v>139</v>
      </c>
      <c r="G44" s="5">
        <v>1605</v>
      </c>
      <c r="H44" s="5">
        <v>1262</v>
      </c>
      <c r="I44" s="19" t="s">
        <v>139</v>
      </c>
      <c r="J44" s="19" t="s">
        <v>139</v>
      </c>
      <c r="K44" s="5">
        <v>734</v>
      </c>
      <c r="L44" s="19" t="s">
        <v>139</v>
      </c>
    </row>
    <row r="45" spans="2:12" x14ac:dyDescent="0.2">
      <c r="C45" s="10"/>
    </row>
    <row r="46" spans="2:12" x14ac:dyDescent="0.2">
      <c r="B46" s="1" t="s">
        <v>647</v>
      </c>
      <c r="C46" s="28">
        <v>102</v>
      </c>
      <c r="D46" s="5">
        <v>1881</v>
      </c>
      <c r="E46" s="19" t="s">
        <v>139</v>
      </c>
      <c r="F46" s="19" t="s">
        <v>139</v>
      </c>
      <c r="G46" s="5">
        <v>1054</v>
      </c>
      <c r="H46" s="5">
        <v>1324</v>
      </c>
      <c r="I46" s="19" t="s">
        <v>139</v>
      </c>
      <c r="J46" s="19" t="s">
        <v>139</v>
      </c>
      <c r="K46" s="5">
        <v>803</v>
      </c>
      <c r="L46" s="19" t="s">
        <v>139</v>
      </c>
    </row>
    <row r="47" spans="2:12" x14ac:dyDescent="0.2">
      <c r="B47" s="1" t="s">
        <v>648</v>
      </c>
      <c r="C47" s="28">
        <v>78</v>
      </c>
      <c r="D47" s="5">
        <v>1663</v>
      </c>
      <c r="E47" s="5">
        <v>598</v>
      </c>
      <c r="F47" s="5">
        <v>275</v>
      </c>
      <c r="G47" s="5">
        <v>498</v>
      </c>
      <c r="H47" s="5">
        <v>1590</v>
      </c>
      <c r="I47" s="5">
        <v>91</v>
      </c>
      <c r="J47" s="5">
        <v>291</v>
      </c>
      <c r="K47" s="5">
        <v>1054</v>
      </c>
      <c r="L47" s="5">
        <v>63</v>
      </c>
    </row>
    <row r="48" spans="2:12" x14ac:dyDescent="0.2">
      <c r="B48" s="1" t="s">
        <v>649</v>
      </c>
      <c r="C48" s="28">
        <v>76</v>
      </c>
      <c r="D48" s="5">
        <v>1595</v>
      </c>
      <c r="E48" s="5">
        <v>536</v>
      </c>
      <c r="F48" s="5">
        <v>306</v>
      </c>
      <c r="G48" s="5">
        <v>492</v>
      </c>
      <c r="H48" s="5">
        <v>1492</v>
      </c>
      <c r="I48" s="5">
        <v>98</v>
      </c>
      <c r="J48" s="5">
        <v>292</v>
      </c>
      <c r="K48" s="5">
        <v>983</v>
      </c>
      <c r="L48" s="5">
        <v>56</v>
      </c>
    </row>
    <row r="49" spans="2:12" x14ac:dyDescent="0.2">
      <c r="B49" s="4" t="s">
        <v>650</v>
      </c>
      <c r="C49" s="30">
        <v>69</v>
      </c>
      <c r="D49" s="26">
        <v>1610</v>
      </c>
      <c r="E49" s="26">
        <v>510</v>
      </c>
      <c r="F49" s="26">
        <v>277</v>
      </c>
      <c r="G49" s="26">
        <v>533</v>
      </c>
      <c r="H49" s="26">
        <v>1418</v>
      </c>
      <c r="I49" s="26">
        <v>98</v>
      </c>
      <c r="J49" s="26">
        <v>262</v>
      </c>
      <c r="K49" s="26">
        <v>972</v>
      </c>
      <c r="L49" s="26">
        <v>49</v>
      </c>
    </row>
    <row r="50" spans="2:12" ht="18" thickBot="1" x14ac:dyDescent="0.25">
      <c r="B50" s="6"/>
      <c r="C50" s="23"/>
      <c r="D50" s="6"/>
      <c r="E50" s="6"/>
      <c r="F50" s="6"/>
      <c r="G50" s="6"/>
      <c r="H50" s="6"/>
      <c r="I50" s="6"/>
      <c r="J50" s="6"/>
      <c r="K50" s="6"/>
      <c r="L50" s="6"/>
    </row>
    <row r="51" spans="2:12" x14ac:dyDescent="0.2">
      <c r="C51" s="10"/>
      <c r="D51" s="10"/>
      <c r="E51" s="10"/>
      <c r="F51" s="10"/>
      <c r="G51" s="10"/>
      <c r="H51" s="10"/>
      <c r="I51" s="10"/>
      <c r="J51" s="12"/>
      <c r="K51" s="10"/>
      <c r="L51" s="10"/>
    </row>
    <row r="52" spans="2:12" x14ac:dyDescent="0.2">
      <c r="C52" s="16" t="s">
        <v>667</v>
      </c>
      <c r="D52" s="16" t="s">
        <v>668</v>
      </c>
      <c r="E52" s="16" t="s">
        <v>669</v>
      </c>
      <c r="F52" s="16" t="s">
        <v>670</v>
      </c>
      <c r="G52" s="16" t="s">
        <v>671</v>
      </c>
      <c r="H52" s="16" t="s">
        <v>672</v>
      </c>
      <c r="I52" s="16" t="s">
        <v>673</v>
      </c>
      <c r="J52" s="16" t="s">
        <v>674</v>
      </c>
      <c r="K52" s="16" t="s">
        <v>675</v>
      </c>
      <c r="L52" s="16" t="s">
        <v>51</v>
      </c>
    </row>
    <row r="53" spans="2:12" x14ac:dyDescent="0.2">
      <c r="B53" s="12"/>
      <c r="C53" s="14"/>
      <c r="D53" s="17" t="s">
        <v>676</v>
      </c>
      <c r="E53" s="14"/>
      <c r="F53" s="14"/>
      <c r="G53" s="14"/>
      <c r="H53" s="14"/>
      <c r="I53" s="17" t="s">
        <v>677</v>
      </c>
      <c r="J53" s="17" t="s">
        <v>677</v>
      </c>
      <c r="K53" s="14"/>
      <c r="L53" s="17" t="s">
        <v>678</v>
      </c>
    </row>
    <row r="54" spans="2:12" x14ac:dyDescent="0.2">
      <c r="C54" s="10"/>
    </row>
    <row r="55" spans="2:12" x14ac:dyDescent="0.2">
      <c r="B55" s="1" t="s">
        <v>638</v>
      </c>
      <c r="C55" s="32" t="s">
        <v>139</v>
      </c>
      <c r="D55" s="19" t="s">
        <v>139</v>
      </c>
      <c r="E55" s="19" t="s">
        <v>139</v>
      </c>
      <c r="F55" s="19" t="s">
        <v>139</v>
      </c>
      <c r="G55" s="19" t="s">
        <v>139</v>
      </c>
      <c r="H55" s="19" t="s">
        <v>139</v>
      </c>
      <c r="I55" s="5">
        <v>536</v>
      </c>
      <c r="J55" s="19" t="s">
        <v>139</v>
      </c>
      <c r="K55" s="5">
        <v>187</v>
      </c>
      <c r="L55" s="43">
        <f>C13-SUM(D13:E13,L13,C34:D34,H34,L34,C55:I55,K55)</f>
        <v>3236</v>
      </c>
    </row>
    <row r="56" spans="2:12" x14ac:dyDescent="0.2">
      <c r="B56" s="1" t="s">
        <v>639</v>
      </c>
      <c r="C56" s="32" t="s">
        <v>139</v>
      </c>
      <c r="D56" s="19" t="s">
        <v>139</v>
      </c>
      <c r="E56" s="19" t="s">
        <v>139</v>
      </c>
      <c r="F56" s="19" t="s">
        <v>139</v>
      </c>
      <c r="G56" s="19" t="s">
        <v>139</v>
      </c>
      <c r="H56" s="19" t="s">
        <v>139</v>
      </c>
      <c r="I56" s="5">
        <v>536</v>
      </c>
      <c r="J56" s="5">
        <v>254</v>
      </c>
      <c r="K56" s="5">
        <v>187</v>
      </c>
      <c r="L56" s="43">
        <f>C14-SUM(D14:E14,L14,C35:D35,H35,L35,C56:I56,K56)</f>
        <v>3016</v>
      </c>
    </row>
    <row r="57" spans="2:12" x14ac:dyDescent="0.2">
      <c r="B57" s="1" t="s">
        <v>640</v>
      </c>
      <c r="C57" s="32" t="s">
        <v>139</v>
      </c>
      <c r="D57" s="19" t="s">
        <v>139</v>
      </c>
      <c r="E57" s="19" t="s">
        <v>139</v>
      </c>
      <c r="F57" s="19" t="s">
        <v>139</v>
      </c>
      <c r="G57" s="19" t="s">
        <v>139</v>
      </c>
      <c r="H57" s="19" t="s">
        <v>139</v>
      </c>
      <c r="I57" s="5">
        <v>401</v>
      </c>
      <c r="J57" s="5">
        <v>171</v>
      </c>
      <c r="K57" s="5">
        <v>232</v>
      </c>
      <c r="L57" s="43">
        <f>C15-SUM(D15:E15,L15,C36:D36,H36,L36,C57:I57,K57)</f>
        <v>2581</v>
      </c>
    </row>
    <row r="58" spans="2:12" x14ac:dyDescent="0.2">
      <c r="C58" s="10"/>
    </row>
    <row r="59" spans="2:12" x14ac:dyDescent="0.2">
      <c r="B59" s="1" t="s">
        <v>641</v>
      </c>
      <c r="C59" s="28">
        <v>302</v>
      </c>
      <c r="D59" s="19" t="s">
        <v>139</v>
      </c>
      <c r="E59" s="19" t="s">
        <v>139</v>
      </c>
      <c r="F59" s="19" t="s">
        <v>139</v>
      </c>
      <c r="G59" s="19" t="s">
        <v>139</v>
      </c>
      <c r="H59" s="19" t="s">
        <v>139</v>
      </c>
      <c r="I59" s="5">
        <v>306</v>
      </c>
      <c r="J59" s="5">
        <v>131</v>
      </c>
      <c r="K59" s="5">
        <v>216</v>
      </c>
      <c r="L59" s="43">
        <f>C17-SUM(D17:E17,L17,C38:D38,H38,L38,C59:I59,K59)</f>
        <v>2084</v>
      </c>
    </row>
    <row r="60" spans="2:12" x14ac:dyDescent="0.2">
      <c r="B60" s="1" t="s">
        <v>642</v>
      </c>
      <c r="C60" s="28">
        <v>409</v>
      </c>
      <c r="D60" s="19" t="s">
        <v>139</v>
      </c>
      <c r="E60" s="19" t="s">
        <v>139</v>
      </c>
      <c r="F60" s="19" t="s">
        <v>139</v>
      </c>
      <c r="G60" s="19" t="s">
        <v>139</v>
      </c>
      <c r="H60" s="19" t="s">
        <v>139</v>
      </c>
      <c r="I60" s="5">
        <v>308</v>
      </c>
      <c r="J60" s="5">
        <v>125</v>
      </c>
      <c r="K60" s="5">
        <v>285</v>
      </c>
      <c r="L60" s="43">
        <f>C18-SUM(D18:E18,L18,C39:D39,H39,L39,C60:I60,K60)</f>
        <v>2031</v>
      </c>
    </row>
    <row r="61" spans="2:12" x14ac:dyDescent="0.2">
      <c r="C61" s="28"/>
      <c r="D61" s="5"/>
      <c r="E61" s="5"/>
      <c r="F61" s="5"/>
      <c r="G61" s="5"/>
      <c r="H61" s="5"/>
      <c r="I61" s="5"/>
      <c r="J61" s="5"/>
      <c r="K61" s="5"/>
    </row>
    <row r="62" spans="2:12" x14ac:dyDescent="0.2">
      <c r="B62" s="1" t="s">
        <v>643</v>
      </c>
      <c r="C62" s="28">
        <v>571</v>
      </c>
      <c r="D62" s="19" t="s">
        <v>139</v>
      </c>
      <c r="E62" s="19" t="s">
        <v>139</v>
      </c>
      <c r="F62" s="19" t="s">
        <v>139</v>
      </c>
      <c r="G62" s="19" t="s">
        <v>139</v>
      </c>
      <c r="H62" s="19" t="s">
        <v>139</v>
      </c>
      <c r="I62" s="5">
        <v>336</v>
      </c>
      <c r="J62" s="5">
        <v>137</v>
      </c>
      <c r="K62" s="5">
        <v>213</v>
      </c>
      <c r="L62" s="43">
        <f>C20-SUM(D20:E20,L20,C41:D41,H41,L41,C62:I62,K62)</f>
        <v>2124</v>
      </c>
    </row>
    <row r="63" spans="2:12" x14ac:dyDescent="0.2">
      <c r="B63" s="1" t="s">
        <v>644</v>
      </c>
      <c r="C63" s="28">
        <v>665</v>
      </c>
      <c r="D63" s="19" t="s">
        <v>139</v>
      </c>
      <c r="E63" s="19" t="s">
        <v>139</v>
      </c>
      <c r="F63" s="19" t="s">
        <v>139</v>
      </c>
      <c r="G63" s="19" t="s">
        <v>139</v>
      </c>
      <c r="H63" s="19" t="s">
        <v>139</v>
      </c>
      <c r="I63" s="5">
        <v>347</v>
      </c>
      <c r="J63" s="5">
        <v>148</v>
      </c>
      <c r="K63" s="5">
        <v>204</v>
      </c>
      <c r="L63" s="43">
        <f>C21-SUM(D21:E21,L21,C42:D42,H42,L42,C63:I63,K63)</f>
        <v>2047</v>
      </c>
    </row>
    <row r="64" spans="2:12" x14ac:dyDescent="0.2">
      <c r="B64" s="1" t="s">
        <v>645</v>
      </c>
      <c r="C64" s="28">
        <v>690</v>
      </c>
      <c r="D64" s="19" t="s">
        <v>139</v>
      </c>
      <c r="E64" s="19" t="s">
        <v>139</v>
      </c>
      <c r="F64" s="19" t="s">
        <v>139</v>
      </c>
      <c r="G64" s="19" t="s">
        <v>139</v>
      </c>
      <c r="H64" s="19" t="s">
        <v>139</v>
      </c>
      <c r="I64" s="5">
        <v>352</v>
      </c>
      <c r="J64" s="5">
        <v>148</v>
      </c>
      <c r="K64" s="5">
        <v>221</v>
      </c>
      <c r="L64" s="43">
        <f>C22-SUM(D22:E22,L22,C43:D43,H43,L43,C64:I64,K64)</f>
        <v>2146</v>
      </c>
    </row>
    <row r="65" spans="1:12" x14ac:dyDescent="0.2">
      <c r="B65" s="1" t="s">
        <v>646</v>
      </c>
      <c r="C65" s="28">
        <v>709</v>
      </c>
      <c r="D65" s="19" t="s">
        <v>139</v>
      </c>
      <c r="E65" s="19" t="s">
        <v>139</v>
      </c>
      <c r="F65" s="19" t="s">
        <v>139</v>
      </c>
      <c r="G65" s="19" t="s">
        <v>139</v>
      </c>
      <c r="H65" s="19" t="s">
        <v>139</v>
      </c>
      <c r="I65" s="5">
        <v>360</v>
      </c>
      <c r="J65" s="5">
        <v>150</v>
      </c>
      <c r="K65" s="5">
        <v>221</v>
      </c>
      <c r="L65" s="43">
        <f>C23-SUM(D23:E23,L23,C44:D44,H44,L44,C65:I65,K65)</f>
        <v>2124</v>
      </c>
    </row>
    <row r="66" spans="1:12" x14ac:dyDescent="0.2">
      <c r="C66" s="10"/>
    </row>
    <row r="67" spans="1:12" x14ac:dyDescent="0.2">
      <c r="B67" s="1" t="s">
        <v>647</v>
      </c>
      <c r="C67" s="28">
        <v>830</v>
      </c>
      <c r="D67" s="19" t="s">
        <v>139</v>
      </c>
      <c r="E67" s="19" t="s">
        <v>139</v>
      </c>
      <c r="F67" s="19" t="s">
        <v>139</v>
      </c>
      <c r="G67" s="19" t="s">
        <v>139</v>
      </c>
      <c r="H67" s="19" t="s">
        <v>139</v>
      </c>
      <c r="I67" s="5">
        <v>391</v>
      </c>
      <c r="J67" s="5">
        <v>156</v>
      </c>
      <c r="K67" s="5">
        <v>208</v>
      </c>
      <c r="L67" s="43">
        <f>C25-SUM(D25:E25,L25,C46:D46,H46,L46,C67:I67,K67)</f>
        <v>2206</v>
      </c>
    </row>
    <row r="68" spans="1:12" x14ac:dyDescent="0.2">
      <c r="B68" s="1" t="s">
        <v>648</v>
      </c>
      <c r="C68" s="28">
        <v>813</v>
      </c>
      <c r="D68" s="5">
        <v>145</v>
      </c>
      <c r="E68" s="5">
        <v>67</v>
      </c>
      <c r="F68" s="5">
        <v>184</v>
      </c>
      <c r="G68" s="5">
        <v>155</v>
      </c>
      <c r="H68" s="5">
        <v>353</v>
      </c>
      <c r="I68" s="5">
        <v>447</v>
      </c>
      <c r="J68" s="5">
        <v>158</v>
      </c>
      <c r="K68" s="5">
        <v>228</v>
      </c>
      <c r="L68" s="43">
        <f>C26-SUM(D26:E26,L26,C47:D47,H47,L47,C68:I68,K68)</f>
        <v>1341</v>
      </c>
    </row>
    <row r="69" spans="1:12" x14ac:dyDescent="0.2">
      <c r="B69" s="1" t="s">
        <v>649</v>
      </c>
      <c r="C69" s="28">
        <v>744</v>
      </c>
      <c r="D69" s="5">
        <v>144</v>
      </c>
      <c r="E69" s="5">
        <v>54</v>
      </c>
      <c r="F69" s="5">
        <v>160</v>
      </c>
      <c r="G69" s="5">
        <v>160</v>
      </c>
      <c r="H69" s="5">
        <v>352</v>
      </c>
      <c r="I69" s="5">
        <v>398</v>
      </c>
      <c r="J69" s="5">
        <v>129</v>
      </c>
      <c r="K69" s="5">
        <v>231</v>
      </c>
      <c r="L69" s="43">
        <f>C27-SUM(D27:E27,L27,C48:D48,H48,L48,C69:I69,K69)</f>
        <v>1213</v>
      </c>
    </row>
    <row r="70" spans="1:12" x14ac:dyDescent="0.2">
      <c r="B70" s="4" t="s">
        <v>650</v>
      </c>
      <c r="C70" s="30">
        <v>780</v>
      </c>
      <c r="D70" s="26">
        <v>146</v>
      </c>
      <c r="E70" s="26">
        <v>58</v>
      </c>
      <c r="F70" s="26">
        <v>165</v>
      </c>
      <c r="G70" s="26">
        <v>169</v>
      </c>
      <c r="H70" s="26">
        <v>370</v>
      </c>
      <c r="I70" s="26">
        <v>400</v>
      </c>
      <c r="J70" s="26">
        <v>149</v>
      </c>
      <c r="K70" s="26">
        <v>254</v>
      </c>
      <c r="L70" s="21">
        <f>C28-SUM(D28:E28,L28,C49:D49,H49,L49,C70:I70,K70)</f>
        <v>1238</v>
      </c>
    </row>
    <row r="71" spans="1:12" ht="18" thickBot="1" x14ac:dyDescent="0.25">
      <c r="B71" s="6"/>
      <c r="C71" s="23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C72" s="1" t="s">
        <v>679</v>
      </c>
    </row>
    <row r="73" spans="1:12" x14ac:dyDescent="0.2">
      <c r="A73" s="1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M146"/>
  <sheetViews>
    <sheetView showGridLines="0" zoomScale="75" workbookViewId="0">
      <selection activeCell="K28" sqref="K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0.875" style="2" customWidth="1"/>
    <col min="5" max="5" width="12.125" style="2"/>
    <col min="6" max="6" width="10.875" style="2" customWidth="1"/>
    <col min="7" max="8" width="12.125" style="2"/>
    <col min="9" max="11" width="10.875" style="2" customWidth="1"/>
    <col min="12" max="40" width="12.125" style="2"/>
    <col min="41" max="41" width="13.375" style="2" customWidth="1"/>
    <col min="42" max="42" width="18.375" style="2" customWidth="1"/>
    <col min="43" max="116" width="13.375" style="2" customWidth="1"/>
    <col min="117" max="256" width="12.125" style="2"/>
    <col min="257" max="257" width="13.375" style="2" customWidth="1"/>
    <col min="258" max="258" width="18.375" style="2" customWidth="1"/>
    <col min="259" max="259" width="12.125" style="2"/>
    <col min="260" max="260" width="10.875" style="2" customWidth="1"/>
    <col min="261" max="261" width="12.125" style="2"/>
    <col min="262" max="262" width="10.875" style="2" customWidth="1"/>
    <col min="263" max="264" width="12.125" style="2"/>
    <col min="265" max="267" width="10.875" style="2" customWidth="1"/>
    <col min="268" max="296" width="12.125" style="2"/>
    <col min="297" max="297" width="13.375" style="2" customWidth="1"/>
    <col min="298" max="298" width="18.375" style="2" customWidth="1"/>
    <col min="299" max="372" width="13.375" style="2" customWidth="1"/>
    <col min="373" max="512" width="12.125" style="2"/>
    <col min="513" max="513" width="13.375" style="2" customWidth="1"/>
    <col min="514" max="514" width="18.375" style="2" customWidth="1"/>
    <col min="515" max="515" width="12.125" style="2"/>
    <col min="516" max="516" width="10.875" style="2" customWidth="1"/>
    <col min="517" max="517" width="12.125" style="2"/>
    <col min="518" max="518" width="10.875" style="2" customWidth="1"/>
    <col min="519" max="520" width="12.125" style="2"/>
    <col min="521" max="523" width="10.875" style="2" customWidth="1"/>
    <col min="524" max="552" width="12.125" style="2"/>
    <col min="553" max="553" width="13.375" style="2" customWidth="1"/>
    <col min="554" max="554" width="18.375" style="2" customWidth="1"/>
    <col min="555" max="628" width="13.375" style="2" customWidth="1"/>
    <col min="629" max="768" width="12.125" style="2"/>
    <col min="769" max="769" width="13.375" style="2" customWidth="1"/>
    <col min="770" max="770" width="18.375" style="2" customWidth="1"/>
    <col min="771" max="771" width="12.125" style="2"/>
    <col min="772" max="772" width="10.875" style="2" customWidth="1"/>
    <col min="773" max="773" width="12.125" style="2"/>
    <col min="774" max="774" width="10.875" style="2" customWidth="1"/>
    <col min="775" max="776" width="12.125" style="2"/>
    <col min="777" max="779" width="10.875" style="2" customWidth="1"/>
    <col min="780" max="808" width="12.125" style="2"/>
    <col min="809" max="809" width="13.375" style="2" customWidth="1"/>
    <col min="810" max="810" width="18.375" style="2" customWidth="1"/>
    <col min="811" max="884" width="13.375" style="2" customWidth="1"/>
    <col min="885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0.875" style="2" customWidth="1"/>
    <col min="1029" max="1029" width="12.125" style="2"/>
    <col min="1030" max="1030" width="10.875" style="2" customWidth="1"/>
    <col min="1031" max="1032" width="12.125" style="2"/>
    <col min="1033" max="1035" width="10.875" style="2" customWidth="1"/>
    <col min="1036" max="1064" width="12.125" style="2"/>
    <col min="1065" max="1065" width="13.375" style="2" customWidth="1"/>
    <col min="1066" max="1066" width="18.375" style="2" customWidth="1"/>
    <col min="1067" max="1140" width="13.375" style="2" customWidth="1"/>
    <col min="1141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0.875" style="2" customWidth="1"/>
    <col min="1285" max="1285" width="12.125" style="2"/>
    <col min="1286" max="1286" width="10.875" style="2" customWidth="1"/>
    <col min="1287" max="1288" width="12.125" style="2"/>
    <col min="1289" max="1291" width="10.875" style="2" customWidth="1"/>
    <col min="1292" max="1320" width="12.125" style="2"/>
    <col min="1321" max="1321" width="13.375" style="2" customWidth="1"/>
    <col min="1322" max="1322" width="18.375" style="2" customWidth="1"/>
    <col min="1323" max="1396" width="13.375" style="2" customWidth="1"/>
    <col min="1397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0.875" style="2" customWidth="1"/>
    <col min="1541" max="1541" width="12.125" style="2"/>
    <col min="1542" max="1542" width="10.875" style="2" customWidth="1"/>
    <col min="1543" max="1544" width="12.125" style="2"/>
    <col min="1545" max="1547" width="10.875" style="2" customWidth="1"/>
    <col min="1548" max="1576" width="12.125" style="2"/>
    <col min="1577" max="1577" width="13.375" style="2" customWidth="1"/>
    <col min="1578" max="1578" width="18.375" style="2" customWidth="1"/>
    <col min="1579" max="1652" width="13.375" style="2" customWidth="1"/>
    <col min="1653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0.875" style="2" customWidth="1"/>
    <col min="1797" max="1797" width="12.125" style="2"/>
    <col min="1798" max="1798" width="10.875" style="2" customWidth="1"/>
    <col min="1799" max="1800" width="12.125" style="2"/>
    <col min="1801" max="1803" width="10.875" style="2" customWidth="1"/>
    <col min="1804" max="1832" width="12.125" style="2"/>
    <col min="1833" max="1833" width="13.375" style="2" customWidth="1"/>
    <col min="1834" max="1834" width="18.375" style="2" customWidth="1"/>
    <col min="1835" max="1908" width="13.375" style="2" customWidth="1"/>
    <col min="1909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0.875" style="2" customWidth="1"/>
    <col min="2053" max="2053" width="12.125" style="2"/>
    <col min="2054" max="2054" width="10.875" style="2" customWidth="1"/>
    <col min="2055" max="2056" width="12.125" style="2"/>
    <col min="2057" max="2059" width="10.875" style="2" customWidth="1"/>
    <col min="2060" max="2088" width="12.125" style="2"/>
    <col min="2089" max="2089" width="13.375" style="2" customWidth="1"/>
    <col min="2090" max="2090" width="18.375" style="2" customWidth="1"/>
    <col min="2091" max="2164" width="13.375" style="2" customWidth="1"/>
    <col min="2165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0.875" style="2" customWidth="1"/>
    <col min="2309" max="2309" width="12.125" style="2"/>
    <col min="2310" max="2310" width="10.875" style="2" customWidth="1"/>
    <col min="2311" max="2312" width="12.125" style="2"/>
    <col min="2313" max="2315" width="10.875" style="2" customWidth="1"/>
    <col min="2316" max="2344" width="12.125" style="2"/>
    <col min="2345" max="2345" width="13.375" style="2" customWidth="1"/>
    <col min="2346" max="2346" width="18.375" style="2" customWidth="1"/>
    <col min="2347" max="2420" width="13.375" style="2" customWidth="1"/>
    <col min="2421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0.875" style="2" customWidth="1"/>
    <col min="2565" max="2565" width="12.125" style="2"/>
    <col min="2566" max="2566" width="10.875" style="2" customWidth="1"/>
    <col min="2567" max="2568" width="12.125" style="2"/>
    <col min="2569" max="2571" width="10.875" style="2" customWidth="1"/>
    <col min="2572" max="2600" width="12.125" style="2"/>
    <col min="2601" max="2601" width="13.375" style="2" customWidth="1"/>
    <col min="2602" max="2602" width="18.375" style="2" customWidth="1"/>
    <col min="2603" max="2676" width="13.375" style="2" customWidth="1"/>
    <col min="2677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0.875" style="2" customWidth="1"/>
    <col min="2821" max="2821" width="12.125" style="2"/>
    <col min="2822" max="2822" width="10.875" style="2" customWidth="1"/>
    <col min="2823" max="2824" width="12.125" style="2"/>
    <col min="2825" max="2827" width="10.875" style="2" customWidth="1"/>
    <col min="2828" max="2856" width="12.125" style="2"/>
    <col min="2857" max="2857" width="13.375" style="2" customWidth="1"/>
    <col min="2858" max="2858" width="18.375" style="2" customWidth="1"/>
    <col min="2859" max="2932" width="13.375" style="2" customWidth="1"/>
    <col min="2933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0.875" style="2" customWidth="1"/>
    <col min="3077" max="3077" width="12.125" style="2"/>
    <col min="3078" max="3078" width="10.875" style="2" customWidth="1"/>
    <col min="3079" max="3080" width="12.125" style="2"/>
    <col min="3081" max="3083" width="10.875" style="2" customWidth="1"/>
    <col min="3084" max="3112" width="12.125" style="2"/>
    <col min="3113" max="3113" width="13.375" style="2" customWidth="1"/>
    <col min="3114" max="3114" width="18.375" style="2" customWidth="1"/>
    <col min="3115" max="3188" width="13.375" style="2" customWidth="1"/>
    <col min="3189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0.875" style="2" customWidth="1"/>
    <col min="3333" max="3333" width="12.125" style="2"/>
    <col min="3334" max="3334" width="10.875" style="2" customWidth="1"/>
    <col min="3335" max="3336" width="12.125" style="2"/>
    <col min="3337" max="3339" width="10.875" style="2" customWidth="1"/>
    <col min="3340" max="3368" width="12.125" style="2"/>
    <col min="3369" max="3369" width="13.375" style="2" customWidth="1"/>
    <col min="3370" max="3370" width="18.375" style="2" customWidth="1"/>
    <col min="3371" max="3444" width="13.375" style="2" customWidth="1"/>
    <col min="3445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0.875" style="2" customWidth="1"/>
    <col min="3589" max="3589" width="12.125" style="2"/>
    <col min="3590" max="3590" width="10.875" style="2" customWidth="1"/>
    <col min="3591" max="3592" width="12.125" style="2"/>
    <col min="3593" max="3595" width="10.875" style="2" customWidth="1"/>
    <col min="3596" max="3624" width="12.125" style="2"/>
    <col min="3625" max="3625" width="13.375" style="2" customWidth="1"/>
    <col min="3626" max="3626" width="18.375" style="2" customWidth="1"/>
    <col min="3627" max="3700" width="13.375" style="2" customWidth="1"/>
    <col min="3701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0.875" style="2" customWidth="1"/>
    <col min="3845" max="3845" width="12.125" style="2"/>
    <col min="3846" max="3846" width="10.875" style="2" customWidth="1"/>
    <col min="3847" max="3848" width="12.125" style="2"/>
    <col min="3849" max="3851" width="10.875" style="2" customWidth="1"/>
    <col min="3852" max="3880" width="12.125" style="2"/>
    <col min="3881" max="3881" width="13.375" style="2" customWidth="1"/>
    <col min="3882" max="3882" width="18.375" style="2" customWidth="1"/>
    <col min="3883" max="3956" width="13.375" style="2" customWidth="1"/>
    <col min="3957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0.875" style="2" customWidth="1"/>
    <col min="4101" max="4101" width="12.125" style="2"/>
    <col min="4102" max="4102" width="10.875" style="2" customWidth="1"/>
    <col min="4103" max="4104" width="12.125" style="2"/>
    <col min="4105" max="4107" width="10.875" style="2" customWidth="1"/>
    <col min="4108" max="4136" width="12.125" style="2"/>
    <col min="4137" max="4137" width="13.375" style="2" customWidth="1"/>
    <col min="4138" max="4138" width="18.375" style="2" customWidth="1"/>
    <col min="4139" max="4212" width="13.375" style="2" customWidth="1"/>
    <col min="4213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0.875" style="2" customWidth="1"/>
    <col min="4357" max="4357" width="12.125" style="2"/>
    <col min="4358" max="4358" width="10.875" style="2" customWidth="1"/>
    <col min="4359" max="4360" width="12.125" style="2"/>
    <col min="4361" max="4363" width="10.875" style="2" customWidth="1"/>
    <col min="4364" max="4392" width="12.125" style="2"/>
    <col min="4393" max="4393" width="13.375" style="2" customWidth="1"/>
    <col min="4394" max="4394" width="18.375" style="2" customWidth="1"/>
    <col min="4395" max="4468" width="13.375" style="2" customWidth="1"/>
    <col min="4469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0.875" style="2" customWidth="1"/>
    <col min="4613" max="4613" width="12.125" style="2"/>
    <col min="4614" max="4614" width="10.875" style="2" customWidth="1"/>
    <col min="4615" max="4616" width="12.125" style="2"/>
    <col min="4617" max="4619" width="10.875" style="2" customWidth="1"/>
    <col min="4620" max="4648" width="12.125" style="2"/>
    <col min="4649" max="4649" width="13.375" style="2" customWidth="1"/>
    <col min="4650" max="4650" width="18.375" style="2" customWidth="1"/>
    <col min="4651" max="4724" width="13.375" style="2" customWidth="1"/>
    <col min="4725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0.875" style="2" customWidth="1"/>
    <col min="4869" max="4869" width="12.125" style="2"/>
    <col min="4870" max="4870" width="10.875" style="2" customWidth="1"/>
    <col min="4871" max="4872" width="12.125" style="2"/>
    <col min="4873" max="4875" width="10.875" style="2" customWidth="1"/>
    <col min="4876" max="4904" width="12.125" style="2"/>
    <col min="4905" max="4905" width="13.375" style="2" customWidth="1"/>
    <col min="4906" max="4906" width="18.375" style="2" customWidth="1"/>
    <col min="4907" max="4980" width="13.375" style="2" customWidth="1"/>
    <col min="4981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0.875" style="2" customWidth="1"/>
    <col min="5125" max="5125" width="12.125" style="2"/>
    <col min="5126" max="5126" width="10.875" style="2" customWidth="1"/>
    <col min="5127" max="5128" width="12.125" style="2"/>
    <col min="5129" max="5131" width="10.875" style="2" customWidth="1"/>
    <col min="5132" max="5160" width="12.125" style="2"/>
    <col min="5161" max="5161" width="13.375" style="2" customWidth="1"/>
    <col min="5162" max="5162" width="18.375" style="2" customWidth="1"/>
    <col min="5163" max="5236" width="13.375" style="2" customWidth="1"/>
    <col min="5237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0.875" style="2" customWidth="1"/>
    <col min="5381" max="5381" width="12.125" style="2"/>
    <col min="5382" max="5382" width="10.875" style="2" customWidth="1"/>
    <col min="5383" max="5384" width="12.125" style="2"/>
    <col min="5385" max="5387" width="10.875" style="2" customWidth="1"/>
    <col min="5388" max="5416" width="12.125" style="2"/>
    <col min="5417" max="5417" width="13.375" style="2" customWidth="1"/>
    <col min="5418" max="5418" width="18.375" style="2" customWidth="1"/>
    <col min="5419" max="5492" width="13.375" style="2" customWidth="1"/>
    <col min="5493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0.875" style="2" customWidth="1"/>
    <col min="5637" max="5637" width="12.125" style="2"/>
    <col min="5638" max="5638" width="10.875" style="2" customWidth="1"/>
    <col min="5639" max="5640" width="12.125" style="2"/>
    <col min="5641" max="5643" width="10.875" style="2" customWidth="1"/>
    <col min="5644" max="5672" width="12.125" style="2"/>
    <col min="5673" max="5673" width="13.375" style="2" customWidth="1"/>
    <col min="5674" max="5674" width="18.375" style="2" customWidth="1"/>
    <col min="5675" max="5748" width="13.375" style="2" customWidth="1"/>
    <col min="5749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0.875" style="2" customWidth="1"/>
    <col min="5893" max="5893" width="12.125" style="2"/>
    <col min="5894" max="5894" width="10.875" style="2" customWidth="1"/>
    <col min="5895" max="5896" width="12.125" style="2"/>
    <col min="5897" max="5899" width="10.875" style="2" customWidth="1"/>
    <col min="5900" max="5928" width="12.125" style="2"/>
    <col min="5929" max="5929" width="13.375" style="2" customWidth="1"/>
    <col min="5930" max="5930" width="18.375" style="2" customWidth="1"/>
    <col min="5931" max="6004" width="13.375" style="2" customWidth="1"/>
    <col min="6005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0.875" style="2" customWidth="1"/>
    <col min="6149" max="6149" width="12.125" style="2"/>
    <col min="6150" max="6150" width="10.875" style="2" customWidth="1"/>
    <col min="6151" max="6152" width="12.125" style="2"/>
    <col min="6153" max="6155" width="10.875" style="2" customWidth="1"/>
    <col min="6156" max="6184" width="12.125" style="2"/>
    <col min="6185" max="6185" width="13.375" style="2" customWidth="1"/>
    <col min="6186" max="6186" width="18.375" style="2" customWidth="1"/>
    <col min="6187" max="6260" width="13.375" style="2" customWidth="1"/>
    <col min="6261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0.875" style="2" customWidth="1"/>
    <col min="6405" max="6405" width="12.125" style="2"/>
    <col min="6406" max="6406" width="10.875" style="2" customWidth="1"/>
    <col min="6407" max="6408" width="12.125" style="2"/>
    <col min="6409" max="6411" width="10.875" style="2" customWidth="1"/>
    <col min="6412" max="6440" width="12.125" style="2"/>
    <col min="6441" max="6441" width="13.375" style="2" customWidth="1"/>
    <col min="6442" max="6442" width="18.375" style="2" customWidth="1"/>
    <col min="6443" max="6516" width="13.375" style="2" customWidth="1"/>
    <col min="6517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0.875" style="2" customWidth="1"/>
    <col min="6661" max="6661" width="12.125" style="2"/>
    <col min="6662" max="6662" width="10.875" style="2" customWidth="1"/>
    <col min="6663" max="6664" width="12.125" style="2"/>
    <col min="6665" max="6667" width="10.875" style="2" customWidth="1"/>
    <col min="6668" max="6696" width="12.125" style="2"/>
    <col min="6697" max="6697" width="13.375" style="2" customWidth="1"/>
    <col min="6698" max="6698" width="18.375" style="2" customWidth="1"/>
    <col min="6699" max="6772" width="13.375" style="2" customWidth="1"/>
    <col min="6773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0.875" style="2" customWidth="1"/>
    <col min="6917" max="6917" width="12.125" style="2"/>
    <col min="6918" max="6918" width="10.875" style="2" customWidth="1"/>
    <col min="6919" max="6920" width="12.125" style="2"/>
    <col min="6921" max="6923" width="10.875" style="2" customWidth="1"/>
    <col min="6924" max="6952" width="12.125" style="2"/>
    <col min="6953" max="6953" width="13.375" style="2" customWidth="1"/>
    <col min="6954" max="6954" width="18.375" style="2" customWidth="1"/>
    <col min="6955" max="7028" width="13.375" style="2" customWidth="1"/>
    <col min="7029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0.875" style="2" customWidth="1"/>
    <col min="7173" max="7173" width="12.125" style="2"/>
    <col min="7174" max="7174" width="10.875" style="2" customWidth="1"/>
    <col min="7175" max="7176" width="12.125" style="2"/>
    <col min="7177" max="7179" width="10.875" style="2" customWidth="1"/>
    <col min="7180" max="7208" width="12.125" style="2"/>
    <col min="7209" max="7209" width="13.375" style="2" customWidth="1"/>
    <col min="7210" max="7210" width="18.375" style="2" customWidth="1"/>
    <col min="7211" max="7284" width="13.375" style="2" customWidth="1"/>
    <col min="7285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0.875" style="2" customWidth="1"/>
    <col min="7429" max="7429" width="12.125" style="2"/>
    <col min="7430" max="7430" width="10.875" style="2" customWidth="1"/>
    <col min="7431" max="7432" width="12.125" style="2"/>
    <col min="7433" max="7435" width="10.875" style="2" customWidth="1"/>
    <col min="7436" max="7464" width="12.125" style="2"/>
    <col min="7465" max="7465" width="13.375" style="2" customWidth="1"/>
    <col min="7466" max="7466" width="18.375" style="2" customWidth="1"/>
    <col min="7467" max="7540" width="13.375" style="2" customWidth="1"/>
    <col min="7541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0.875" style="2" customWidth="1"/>
    <col min="7685" max="7685" width="12.125" style="2"/>
    <col min="7686" max="7686" width="10.875" style="2" customWidth="1"/>
    <col min="7687" max="7688" width="12.125" style="2"/>
    <col min="7689" max="7691" width="10.875" style="2" customWidth="1"/>
    <col min="7692" max="7720" width="12.125" style="2"/>
    <col min="7721" max="7721" width="13.375" style="2" customWidth="1"/>
    <col min="7722" max="7722" width="18.375" style="2" customWidth="1"/>
    <col min="7723" max="7796" width="13.375" style="2" customWidth="1"/>
    <col min="7797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0.875" style="2" customWidth="1"/>
    <col min="7941" max="7941" width="12.125" style="2"/>
    <col min="7942" max="7942" width="10.875" style="2" customWidth="1"/>
    <col min="7943" max="7944" width="12.125" style="2"/>
    <col min="7945" max="7947" width="10.875" style="2" customWidth="1"/>
    <col min="7948" max="7976" width="12.125" style="2"/>
    <col min="7977" max="7977" width="13.375" style="2" customWidth="1"/>
    <col min="7978" max="7978" width="18.375" style="2" customWidth="1"/>
    <col min="7979" max="8052" width="13.375" style="2" customWidth="1"/>
    <col min="8053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0.875" style="2" customWidth="1"/>
    <col min="8197" max="8197" width="12.125" style="2"/>
    <col min="8198" max="8198" width="10.875" style="2" customWidth="1"/>
    <col min="8199" max="8200" width="12.125" style="2"/>
    <col min="8201" max="8203" width="10.875" style="2" customWidth="1"/>
    <col min="8204" max="8232" width="12.125" style="2"/>
    <col min="8233" max="8233" width="13.375" style="2" customWidth="1"/>
    <col min="8234" max="8234" width="18.375" style="2" customWidth="1"/>
    <col min="8235" max="8308" width="13.375" style="2" customWidth="1"/>
    <col min="8309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0.875" style="2" customWidth="1"/>
    <col min="8453" max="8453" width="12.125" style="2"/>
    <col min="8454" max="8454" width="10.875" style="2" customWidth="1"/>
    <col min="8455" max="8456" width="12.125" style="2"/>
    <col min="8457" max="8459" width="10.875" style="2" customWidth="1"/>
    <col min="8460" max="8488" width="12.125" style="2"/>
    <col min="8489" max="8489" width="13.375" style="2" customWidth="1"/>
    <col min="8490" max="8490" width="18.375" style="2" customWidth="1"/>
    <col min="8491" max="8564" width="13.375" style="2" customWidth="1"/>
    <col min="8565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0.875" style="2" customWidth="1"/>
    <col min="8709" max="8709" width="12.125" style="2"/>
    <col min="8710" max="8710" width="10.875" style="2" customWidth="1"/>
    <col min="8711" max="8712" width="12.125" style="2"/>
    <col min="8713" max="8715" width="10.875" style="2" customWidth="1"/>
    <col min="8716" max="8744" width="12.125" style="2"/>
    <col min="8745" max="8745" width="13.375" style="2" customWidth="1"/>
    <col min="8746" max="8746" width="18.375" style="2" customWidth="1"/>
    <col min="8747" max="8820" width="13.375" style="2" customWidth="1"/>
    <col min="8821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0.875" style="2" customWidth="1"/>
    <col min="8965" max="8965" width="12.125" style="2"/>
    <col min="8966" max="8966" width="10.875" style="2" customWidth="1"/>
    <col min="8967" max="8968" width="12.125" style="2"/>
    <col min="8969" max="8971" width="10.875" style="2" customWidth="1"/>
    <col min="8972" max="9000" width="12.125" style="2"/>
    <col min="9001" max="9001" width="13.375" style="2" customWidth="1"/>
    <col min="9002" max="9002" width="18.375" style="2" customWidth="1"/>
    <col min="9003" max="9076" width="13.375" style="2" customWidth="1"/>
    <col min="9077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0.875" style="2" customWidth="1"/>
    <col min="9221" max="9221" width="12.125" style="2"/>
    <col min="9222" max="9222" width="10.875" style="2" customWidth="1"/>
    <col min="9223" max="9224" width="12.125" style="2"/>
    <col min="9225" max="9227" width="10.875" style="2" customWidth="1"/>
    <col min="9228" max="9256" width="12.125" style="2"/>
    <col min="9257" max="9257" width="13.375" style="2" customWidth="1"/>
    <col min="9258" max="9258" width="18.375" style="2" customWidth="1"/>
    <col min="9259" max="9332" width="13.375" style="2" customWidth="1"/>
    <col min="9333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0.875" style="2" customWidth="1"/>
    <col min="9477" max="9477" width="12.125" style="2"/>
    <col min="9478" max="9478" width="10.875" style="2" customWidth="1"/>
    <col min="9479" max="9480" width="12.125" style="2"/>
    <col min="9481" max="9483" width="10.875" style="2" customWidth="1"/>
    <col min="9484" max="9512" width="12.125" style="2"/>
    <col min="9513" max="9513" width="13.375" style="2" customWidth="1"/>
    <col min="9514" max="9514" width="18.375" style="2" customWidth="1"/>
    <col min="9515" max="9588" width="13.375" style="2" customWidth="1"/>
    <col min="9589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0.875" style="2" customWidth="1"/>
    <col min="9733" max="9733" width="12.125" style="2"/>
    <col min="9734" max="9734" width="10.875" style="2" customWidth="1"/>
    <col min="9735" max="9736" width="12.125" style="2"/>
    <col min="9737" max="9739" width="10.875" style="2" customWidth="1"/>
    <col min="9740" max="9768" width="12.125" style="2"/>
    <col min="9769" max="9769" width="13.375" style="2" customWidth="1"/>
    <col min="9770" max="9770" width="18.375" style="2" customWidth="1"/>
    <col min="9771" max="9844" width="13.375" style="2" customWidth="1"/>
    <col min="9845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0.875" style="2" customWidth="1"/>
    <col min="9989" max="9989" width="12.125" style="2"/>
    <col min="9990" max="9990" width="10.875" style="2" customWidth="1"/>
    <col min="9991" max="9992" width="12.125" style="2"/>
    <col min="9993" max="9995" width="10.875" style="2" customWidth="1"/>
    <col min="9996" max="10024" width="12.125" style="2"/>
    <col min="10025" max="10025" width="13.375" style="2" customWidth="1"/>
    <col min="10026" max="10026" width="18.375" style="2" customWidth="1"/>
    <col min="10027" max="10100" width="13.375" style="2" customWidth="1"/>
    <col min="10101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0.875" style="2" customWidth="1"/>
    <col min="10245" max="10245" width="12.125" style="2"/>
    <col min="10246" max="10246" width="10.875" style="2" customWidth="1"/>
    <col min="10247" max="10248" width="12.125" style="2"/>
    <col min="10249" max="10251" width="10.875" style="2" customWidth="1"/>
    <col min="10252" max="10280" width="12.125" style="2"/>
    <col min="10281" max="10281" width="13.375" style="2" customWidth="1"/>
    <col min="10282" max="10282" width="18.375" style="2" customWidth="1"/>
    <col min="10283" max="10356" width="13.375" style="2" customWidth="1"/>
    <col min="10357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0.875" style="2" customWidth="1"/>
    <col min="10501" max="10501" width="12.125" style="2"/>
    <col min="10502" max="10502" width="10.875" style="2" customWidth="1"/>
    <col min="10503" max="10504" width="12.125" style="2"/>
    <col min="10505" max="10507" width="10.875" style="2" customWidth="1"/>
    <col min="10508" max="10536" width="12.125" style="2"/>
    <col min="10537" max="10537" width="13.375" style="2" customWidth="1"/>
    <col min="10538" max="10538" width="18.375" style="2" customWidth="1"/>
    <col min="10539" max="10612" width="13.375" style="2" customWidth="1"/>
    <col min="10613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0.875" style="2" customWidth="1"/>
    <col min="10757" max="10757" width="12.125" style="2"/>
    <col min="10758" max="10758" width="10.875" style="2" customWidth="1"/>
    <col min="10759" max="10760" width="12.125" style="2"/>
    <col min="10761" max="10763" width="10.875" style="2" customWidth="1"/>
    <col min="10764" max="10792" width="12.125" style="2"/>
    <col min="10793" max="10793" width="13.375" style="2" customWidth="1"/>
    <col min="10794" max="10794" width="18.375" style="2" customWidth="1"/>
    <col min="10795" max="10868" width="13.375" style="2" customWidth="1"/>
    <col min="10869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0.875" style="2" customWidth="1"/>
    <col min="11013" max="11013" width="12.125" style="2"/>
    <col min="11014" max="11014" width="10.875" style="2" customWidth="1"/>
    <col min="11015" max="11016" width="12.125" style="2"/>
    <col min="11017" max="11019" width="10.875" style="2" customWidth="1"/>
    <col min="11020" max="11048" width="12.125" style="2"/>
    <col min="11049" max="11049" width="13.375" style="2" customWidth="1"/>
    <col min="11050" max="11050" width="18.375" style="2" customWidth="1"/>
    <col min="11051" max="11124" width="13.375" style="2" customWidth="1"/>
    <col min="11125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0.875" style="2" customWidth="1"/>
    <col min="11269" max="11269" width="12.125" style="2"/>
    <col min="11270" max="11270" width="10.875" style="2" customWidth="1"/>
    <col min="11271" max="11272" width="12.125" style="2"/>
    <col min="11273" max="11275" width="10.875" style="2" customWidth="1"/>
    <col min="11276" max="11304" width="12.125" style="2"/>
    <col min="11305" max="11305" width="13.375" style="2" customWidth="1"/>
    <col min="11306" max="11306" width="18.375" style="2" customWidth="1"/>
    <col min="11307" max="11380" width="13.375" style="2" customWidth="1"/>
    <col min="11381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0.875" style="2" customWidth="1"/>
    <col min="11525" max="11525" width="12.125" style="2"/>
    <col min="11526" max="11526" width="10.875" style="2" customWidth="1"/>
    <col min="11527" max="11528" width="12.125" style="2"/>
    <col min="11529" max="11531" width="10.875" style="2" customWidth="1"/>
    <col min="11532" max="11560" width="12.125" style="2"/>
    <col min="11561" max="11561" width="13.375" style="2" customWidth="1"/>
    <col min="11562" max="11562" width="18.375" style="2" customWidth="1"/>
    <col min="11563" max="11636" width="13.375" style="2" customWidth="1"/>
    <col min="11637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0.875" style="2" customWidth="1"/>
    <col min="11781" max="11781" width="12.125" style="2"/>
    <col min="11782" max="11782" width="10.875" style="2" customWidth="1"/>
    <col min="11783" max="11784" width="12.125" style="2"/>
    <col min="11785" max="11787" width="10.875" style="2" customWidth="1"/>
    <col min="11788" max="11816" width="12.125" style="2"/>
    <col min="11817" max="11817" width="13.375" style="2" customWidth="1"/>
    <col min="11818" max="11818" width="18.375" style="2" customWidth="1"/>
    <col min="11819" max="11892" width="13.375" style="2" customWidth="1"/>
    <col min="11893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0.875" style="2" customWidth="1"/>
    <col min="12037" max="12037" width="12.125" style="2"/>
    <col min="12038" max="12038" width="10.875" style="2" customWidth="1"/>
    <col min="12039" max="12040" width="12.125" style="2"/>
    <col min="12041" max="12043" width="10.875" style="2" customWidth="1"/>
    <col min="12044" max="12072" width="12.125" style="2"/>
    <col min="12073" max="12073" width="13.375" style="2" customWidth="1"/>
    <col min="12074" max="12074" width="18.375" style="2" customWidth="1"/>
    <col min="12075" max="12148" width="13.375" style="2" customWidth="1"/>
    <col min="12149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0.875" style="2" customWidth="1"/>
    <col min="12293" max="12293" width="12.125" style="2"/>
    <col min="12294" max="12294" width="10.875" style="2" customWidth="1"/>
    <col min="12295" max="12296" width="12.125" style="2"/>
    <col min="12297" max="12299" width="10.875" style="2" customWidth="1"/>
    <col min="12300" max="12328" width="12.125" style="2"/>
    <col min="12329" max="12329" width="13.375" style="2" customWidth="1"/>
    <col min="12330" max="12330" width="18.375" style="2" customWidth="1"/>
    <col min="12331" max="12404" width="13.375" style="2" customWidth="1"/>
    <col min="12405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0.875" style="2" customWidth="1"/>
    <col min="12549" max="12549" width="12.125" style="2"/>
    <col min="12550" max="12550" width="10.875" style="2" customWidth="1"/>
    <col min="12551" max="12552" width="12.125" style="2"/>
    <col min="12553" max="12555" width="10.875" style="2" customWidth="1"/>
    <col min="12556" max="12584" width="12.125" style="2"/>
    <col min="12585" max="12585" width="13.375" style="2" customWidth="1"/>
    <col min="12586" max="12586" width="18.375" style="2" customWidth="1"/>
    <col min="12587" max="12660" width="13.375" style="2" customWidth="1"/>
    <col min="12661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0.875" style="2" customWidth="1"/>
    <col min="12805" max="12805" width="12.125" style="2"/>
    <col min="12806" max="12806" width="10.875" style="2" customWidth="1"/>
    <col min="12807" max="12808" width="12.125" style="2"/>
    <col min="12809" max="12811" width="10.875" style="2" customWidth="1"/>
    <col min="12812" max="12840" width="12.125" style="2"/>
    <col min="12841" max="12841" width="13.375" style="2" customWidth="1"/>
    <col min="12842" max="12842" width="18.375" style="2" customWidth="1"/>
    <col min="12843" max="12916" width="13.375" style="2" customWidth="1"/>
    <col min="12917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0.875" style="2" customWidth="1"/>
    <col min="13061" max="13061" width="12.125" style="2"/>
    <col min="13062" max="13062" width="10.875" style="2" customWidth="1"/>
    <col min="13063" max="13064" width="12.125" style="2"/>
    <col min="13065" max="13067" width="10.875" style="2" customWidth="1"/>
    <col min="13068" max="13096" width="12.125" style="2"/>
    <col min="13097" max="13097" width="13.375" style="2" customWidth="1"/>
    <col min="13098" max="13098" width="18.375" style="2" customWidth="1"/>
    <col min="13099" max="13172" width="13.375" style="2" customWidth="1"/>
    <col min="13173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0.875" style="2" customWidth="1"/>
    <col min="13317" max="13317" width="12.125" style="2"/>
    <col min="13318" max="13318" width="10.875" style="2" customWidth="1"/>
    <col min="13319" max="13320" width="12.125" style="2"/>
    <col min="13321" max="13323" width="10.875" style="2" customWidth="1"/>
    <col min="13324" max="13352" width="12.125" style="2"/>
    <col min="13353" max="13353" width="13.375" style="2" customWidth="1"/>
    <col min="13354" max="13354" width="18.375" style="2" customWidth="1"/>
    <col min="13355" max="13428" width="13.375" style="2" customWidth="1"/>
    <col min="13429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0.875" style="2" customWidth="1"/>
    <col min="13573" max="13573" width="12.125" style="2"/>
    <col min="13574" max="13574" width="10.875" style="2" customWidth="1"/>
    <col min="13575" max="13576" width="12.125" style="2"/>
    <col min="13577" max="13579" width="10.875" style="2" customWidth="1"/>
    <col min="13580" max="13608" width="12.125" style="2"/>
    <col min="13609" max="13609" width="13.375" style="2" customWidth="1"/>
    <col min="13610" max="13610" width="18.375" style="2" customWidth="1"/>
    <col min="13611" max="13684" width="13.375" style="2" customWidth="1"/>
    <col min="13685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0.875" style="2" customWidth="1"/>
    <col min="13829" max="13829" width="12.125" style="2"/>
    <col min="13830" max="13830" width="10.875" style="2" customWidth="1"/>
    <col min="13831" max="13832" width="12.125" style="2"/>
    <col min="13833" max="13835" width="10.875" style="2" customWidth="1"/>
    <col min="13836" max="13864" width="12.125" style="2"/>
    <col min="13865" max="13865" width="13.375" style="2" customWidth="1"/>
    <col min="13866" max="13866" width="18.375" style="2" customWidth="1"/>
    <col min="13867" max="13940" width="13.375" style="2" customWidth="1"/>
    <col min="13941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0.875" style="2" customWidth="1"/>
    <col min="14085" max="14085" width="12.125" style="2"/>
    <col min="14086" max="14086" width="10.875" style="2" customWidth="1"/>
    <col min="14087" max="14088" width="12.125" style="2"/>
    <col min="14089" max="14091" width="10.875" style="2" customWidth="1"/>
    <col min="14092" max="14120" width="12.125" style="2"/>
    <col min="14121" max="14121" width="13.375" style="2" customWidth="1"/>
    <col min="14122" max="14122" width="18.375" style="2" customWidth="1"/>
    <col min="14123" max="14196" width="13.375" style="2" customWidth="1"/>
    <col min="14197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0.875" style="2" customWidth="1"/>
    <col min="14341" max="14341" width="12.125" style="2"/>
    <col min="14342" max="14342" width="10.875" style="2" customWidth="1"/>
    <col min="14343" max="14344" width="12.125" style="2"/>
    <col min="14345" max="14347" width="10.875" style="2" customWidth="1"/>
    <col min="14348" max="14376" width="12.125" style="2"/>
    <col min="14377" max="14377" width="13.375" style="2" customWidth="1"/>
    <col min="14378" max="14378" width="18.375" style="2" customWidth="1"/>
    <col min="14379" max="14452" width="13.375" style="2" customWidth="1"/>
    <col min="14453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0.875" style="2" customWidth="1"/>
    <col min="14597" max="14597" width="12.125" style="2"/>
    <col min="14598" max="14598" width="10.875" style="2" customWidth="1"/>
    <col min="14599" max="14600" width="12.125" style="2"/>
    <col min="14601" max="14603" width="10.875" style="2" customWidth="1"/>
    <col min="14604" max="14632" width="12.125" style="2"/>
    <col min="14633" max="14633" width="13.375" style="2" customWidth="1"/>
    <col min="14634" max="14634" width="18.375" style="2" customWidth="1"/>
    <col min="14635" max="14708" width="13.375" style="2" customWidth="1"/>
    <col min="14709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0.875" style="2" customWidth="1"/>
    <col min="14853" max="14853" width="12.125" style="2"/>
    <col min="14854" max="14854" width="10.875" style="2" customWidth="1"/>
    <col min="14855" max="14856" width="12.125" style="2"/>
    <col min="14857" max="14859" width="10.875" style="2" customWidth="1"/>
    <col min="14860" max="14888" width="12.125" style="2"/>
    <col min="14889" max="14889" width="13.375" style="2" customWidth="1"/>
    <col min="14890" max="14890" width="18.375" style="2" customWidth="1"/>
    <col min="14891" max="14964" width="13.375" style="2" customWidth="1"/>
    <col min="14965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0.875" style="2" customWidth="1"/>
    <col min="15109" max="15109" width="12.125" style="2"/>
    <col min="15110" max="15110" width="10.875" style="2" customWidth="1"/>
    <col min="15111" max="15112" width="12.125" style="2"/>
    <col min="15113" max="15115" width="10.875" style="2" customWidth="1"/>
    <col min="15116" max="15144" width="12.125" style="2"/>
    <col min="15145" max="15145" width="13.375" style="2" customWidth="1"/>
    <col min="15146" max="15146" width="18.375" style="2" customWidth="1"/>
    <col min="15147" max="15220" width="13.375" style="2" customWidth="1"/>
    <col min="15221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0.875" style="2" customWidth="1"/>
    <col min="15365" max="15365" width="12.125" style="2"/>
    <col min="15366" max="15366" width="10.875" style="2" customWidth="1"/>
    <col min="15367" max="15368" width="12.125" style="2"/>
    <col min="15369" max="15371" width="10.875" style="2" customWidth="1"/>
    <col min="15372" max="15400" width="12.125" style="2"/>
    <col min="15401" max="15401" width="13.375" style="2" customWidth="1"/>
    <col min="15402" max="15402" width="18.375" style="2" customWidth="1"/>
    <col min="15403" max="15476" width="13.375" style="2" customWidth="1"/>
    <col min="15477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0.875" style="2" customWidth="1"/>
    <col min="15621" max="15621" width="12.125" style="2"/>
    <col min="15622" max="15622" width="10.875" style="2" customWidth="1"/>
    <col min="15623" max="15624" width="12.125" style="2"/>
    <col min="15625" max="15627" width="10.875" style="2" customWidth="1"/>
    <col min="15628" max="15656" width="12.125" style="2"/>
    <col min="15657" max="15657" width="13.375" style="2" customWidth="1"/>
    <col min="15658" max="15658" width="18.375" style="2" customWidth="1"/>
    <col min="15659" max="15732" width="13.375" style="2" customWidth="1"/>
    <col min="15733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0.875" style="2" customWidth="1"/>
    <col min="15877" max="15877" width="12.125" style="2"/>
    <col min="15878" max="15878" width="10.875" style="2" customWidth="1"/>
    <col min="15879" max="15880" width="12.125" style="2"/>
    <col min="15881" max="15883" width="10.875" style="2" customWidth="1"/>
    <col min="15884" max="15912" width="12.125" style="2"/>
    <col min="15913" max="15913" width="13.375" style="2" customWidth="1"/>
    <col min="15914" max="15914" width="18.375" style="2" customWidth="1"/>
    <col min="15915" max="15988" width="13.375" style="2" customWidth="1"/>
    <col min="15989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0.875" style="2" customWidth="1"/>
    <col min="16133" max="16133" width="12.125" style="2"/>
    <col min="16134" max="16134" width="10.875" style="2" customWidth="1"/>
    <col min="16135" max="16136" width="12.125" style="2"/>
    <col min="16137" max="16139" width="10.875" style="2" customWidth="1"/>
    <col min="16140" max="16168" width="12.125" style="2"/>
    <col min="16169" max="16169" width="13.375" style="2" customWidth="1"/>
    <col min="16170" max="16170" width="18.375" style="2" customWidth="1"/>
    <col min="16171" max="16244" width="13.375" style="2" customWidth="1"/>
    <col min="16245" max="16384" width="12.125" style="2"/>
  </cols>
  <sheetData>
    <row r="1" spans="1:13" x14ac:dyDescent="0.2">
      <c r="A1" s="1"/>
    </row>
    <row r="6" spans="1:13" x14ac:dyDescent="0.2">
      <c r="E6" s="4" t="s">
        <v>622</v>
      </c>
    </row>
    <row r="7" spans="1:13" x14ac:dyDescent="0.2">
      <c r="C7" s="4" t="s">
        <v>680</v>
      </c>
    </row>
    <row r="8" spans="1:13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9" t="s">
        <v>2</v>
      </c>
    </row>
    <row r="9" spans="1:13" x14ac:dyDescent="0.2">
      <c r="C9" s="10"/>
      <c r="D9" s="10"/>
      <c r="E9" s="16" t="s">
        <v>627</v>
      </c>
      <c r="F9" s="12"/>
      <c r="G9" s="12"/>
      <c r="H9" s="12"/>
      <c r="I9" s="10"/>
      <c r="J9" s="16" t="s">
        <v>681</v>
      </c>
      <c r="K9" s="10"/>
      <c r="L9" s="16" t="s">
        <v>654</v>
      </c>
      <c r="M9" s="3"/>
    </row>
    <row r="10" spans="1:13" x14ac:dyDescent="0.2">
      <c r="B10" s="31" t="s">
        <v>682</v>
      </c>
      <c r="C10" s="17" t="s">
        <v>683</v>
      </c>
      <c r="D10" s="17" t="s">
        <v>626</v>
      </c>
      <c r="E10" s="17" t="s">
        <v>631</v>
      </c>
      <c r="F10" s="17" t="s">
        <v>632</v>
      </c>
      <c r="G10" s="17" t="s">
        <v>684</v>
      </c>
      <c r="H10" s="17" t="s">
        <v>685</v>
      </c>
      <c r="I10" s="17" t="s">
        <v>630</v>
      </c>
      <c r="J10" s="17" t="s">
        <v>686</v>
      </c>
      <c r="K10" s="17" t="s">
        <v>659</v>
      </c>
      <c r="L10" s="17" t="s">
        <v>658</v>
      </c>
      <c r="M10" s="3"/>
    </row>
    <row r="11" spans="1:13" x14ac:dyDescent="0.2">
      <c r="C11" s="10"/>
    </row>
    <row r="12" spans="1:13" x14ac:dyDescent="0.2">
      <c r="B12" s="4" t="s">
        <v>687</v>
      </c>
      <c r="C12" s="20">
        <f t="shared" ref="C12:L12" si="0">SUM(C14:C70)</f>
        <v>9770</v>
      </c>
      <c r="D12" s="21">
        <f t="shared" si="0"/>
        <v>25</v>
      </c>
      <c r="E12" s="21">
        <f t="shared" si="0"/>
        <v>2890</v>
      </c>
      <c r="F12" s="21">
        <f t="shared" si="0"/>
        <v>533</v>
      </c>
      <c r="G12" s="21">
        <f t="shared" si="0"/>
        <v>435</v>
      </c>
      <c r="H12" s="21">
        <f t="shared" si="0"/>
        <v>569</v>
      </c>
      <c r="I12" s="21">
        <f t="shared" si="0"/>
        <v>129</v>
      </c>
      <c r="J12" s="21">
        <f t="shared" si="0"/>
        <v>69</v>
      </c>
      <c r="K12" s="21">
        <f t="shared" si="0"/>
        <v>1610</v>
      </c>
      <c r="L12" s="21">
        <f t="shared" si="0"/>
        <v>1418</v>
      </c>
    </row>
    <row r="13" spans="1:13" x14ac:dyDescent="0.2">
      <c r="C13" s="28"/>
      <c r="D13" s="5"/>
      <c r="E13" s="5"/>
      <c r="F13" s="5"/>
      <c r="G13" s="5"/>
      <c r="H13" s="5"/>
      <c r="I13" s="5"/>
      <c r="J13" s="5"/>
      <c r="K13" s="5"/>
      <c r="L13" s="5"/>
    </row>
    <row r="14" spans="1:13" x14ac:dyDescent="0.2">
      <c r="B14" s="1" t="s">
        <v>688</v>
      </c>
      <c r="C14" s="18">
        <f t="shared" ref="C14:C20" si="1">SUM(D14:E14,I14:L14,C87:L87)</f>
        <v>3155</v>
      </c>
      <c r="D14" s="5">
        <v>9</v>
      </c>
      <c r="E14" s="5">
        <v>1008</v>
      </c>
      <c r="F14" s="5">
        <v>177</v>
      </c>
      <c r="G14" s="5">
        <v>175</v>
      </c>
      <c r="H14" s="5">
        <v>178</v>
      </c>
      <c r="I14" s="5">
        <v>38</v>
      </c>
      <c r="J14" s="5">
        <v>19</v>
      </c>
      <c r="K14" s="5">
        <v>534</v>
      </c>
      <c r="L14" s="5">
        <v>437</v>
      </c>
    </row>
    <row r="15" spans="1:13" x14ac:dyDescent="0.2">
      <c r="B15" s="1" t="s">
        <v>689</v>
      </c>
      <c r="C15" s="18">
        <f t="shared" si="1"/>
        <v>462</v>
      </c>
      <c r="D15" s="5">
        <v>1</v>
      </c>
      <c r="E15" s="5">
        <v>130</v>
      </c>
      <c r="F15" s="5">
        <v>21</v>
      </c>
      <c r="G15" s="5">
        <v>11</v>
      </c>
      <c r="H15" s="5">
        <v>31</v>
      </c>
      <c r="I15" s="5">
        <v>6</v>
      </c>
      <c r="J15" s="5">
        <v>7</v>
      </c>
      <c r="K15" s="5">
        <v>83</v>
      </c>
      <c r="L15" s="5">
        <v>61</v>
      </c>
    </row>
    <row r="16" spans="1:13" x14ac:dyDescent="0.2">
      <c r="B16" s="1" t="s">
        <v>690</v>
      </c>
      <c r="C16" s="18">
        <f t="shared" si="1"/>
        <v>371</v>
      </c>
      <c r="D16" s="19" t="s">
        <v>52</v>
      </c>
      <c r="E16" s="5">
        <v>99</v>
      </c>
      <c r="F16" s="5">
        <v>18</v>
      </c>
      <c r="G16" s="5">
        <v>9</v>
      </c>
      <c r="H16" s="5">
        <v>19</v>
      </c>
      <c r="I16" s="5">
        <v>4</v>
      </c>
      <c r="J16" s="5">
        <v>1</v>
      </c>
      <c r="K16" s="5">
        <v>66</v>
      </c>
      <c r="L16" s="5">
        <v>60</v>
      </c>
    </row>
    <row r="17" spans="2:12" x14ac:dyDescent="0.2">
      <c r="B17" s="1" t="s">
        <v>691</v>
      </c>
      <c r="C17" s="18">
        <f t="shared" si="1"/>
        <v>349</v>
      </c>
      <c r="D17" s="5">
        <v>1</v>
      </c>
      <c r="E17" s="5">
        <v>111</v>
      </c>
      <c r="F17" s="5">
        <v>23</v>
      </c>
      <c r="G17" s="5">
        <v>22</v>
      </c>
      <c r="H17" s="5">
        <v>23</v>
      </c>
      <c r="I17" s="5">
        <v>4</v>
      </c>
      <c r="J17" s="5">
        <v>1</v>
      </c>
      <c r="K17" s="5">
        <v>71</v>
      </c>
      <c r="L17" s="5">
        <v>54</v>
      </c>
    </row>
    <row r="18" spans="2:12" x14ac:dyDescent="0.2">
      <c r="B18" s="1" t="s">
        <v>692</v>
      </c>
      <c r="C18" s="18">
        <f t="shared" si="1"/>
        <v>321</v>
      </c>
      <c r="D18" s="5">
        <v>1</v>
      </c>
      <c r="E18" s="5">
        <v>82</v>
      </c>
      <c r="F18" s="5">
        <v>10</v>
      </c>
      <c r="G18" s="5">
        <v>19</v>
      </c>
      <c r="H18" s="5">
        <v>13</v>
      </c>
      <c r="I18" s="5">
        <v>5</v>
      </c>
      <c r="J18" s="5">
        <v>1</v>
      </c>
      <c r="K18" s="5">
        <v>57</v>
      </c>
      <c r="L18" s="5">
        <v>44</v>
      </c>
    </row>
    <row r="19" spans="2:12" x14ac:dyDescent="0.2">
      <c r="B19" s="1" t="s">
        <v>693</v>
      </c>
      <c r="C19" s="18">
        <f t="shared" si="1"/>
        <v>573</v>
      </c>
      <c r="D19" s="5">
        <v>2</v>
      </c>
      <c r="E19" s="5">
        <v>183</v>
      </c>
      <c r="F19" s="5">
        <v>39</v>
      </c>
      <c r="G19" s="5">
        <v>24</v>
      </c>
      <c r="H19" s="5">
        <v>32</v>
      </c>
      <c r="I19" s="5">
        <v>7</v>
      </c>
      <c r="J19" s="5">
        <v>6</v>
      </c>
      <c r="K19" s="5">
        <v>74</v>
      </c>
      <c r="L19" s="5">
        <v>71</v>
      </c>
    </row>
    <row r="20" spans="2:12" x14ac:dyDescent="0.2">
      <c r="B20" s="1" t="s">
        <v>694</v>
      </c>
      <c r="C20" s="18">
        <f t="shared" si="1"/>
        <v>341</v>
      </c>
      <c r="D20" s="19" t="s">
        <v>52</v>
      </c>
      <c r="E20" s="5">
        <v>84</v>
      </c>
      <c r="F20" s="5">
        <v>14</v>
      </c>
      <c r="G20" s="5">
        <v>18</v>
      </c>
      <c r="H20" s="5">
        <v>9</v>
      </c>
      <c r="I20" s="5">
        <v>7</v>
      </c>
      <c r="J20" s="19" t="s">
        <v>52</v>
      </c>
      <c r="K20" s="5">
        <v>56</v>
      </c>
      <c r="L20" s="5">
        <v>46</v>
      </c>
    </row>
    <row r="21" spans="2:12" x14ac:dyDescent="0.2">
      <c r="C21" s="10"/>
    </row>
    <row r="22" spans="2:12" x14ac:dyDescent="0.2">
      <c r="B22" s="1" t="s">
        <v>695</v>
      </c>
      <c r="C22" s="18">
        <f>SUM(D22:E22,I22:L22,C95:L95)</f>
        <v>144</v>
      </c>
      <c r="D22" s="19" t="s">
        <v>52</v>
      </c>
      <c r="E22" s="5">
        <v>41</v>
      </c>
      <c r="F22" s="5">
        <v>6</v>
      </c>
      <c r="G22" s="5">
        <v>9</v>
      </c>
      <c r="H22" s="5">
        <v>7</v>
      </c>
      <c r="I22" s="5">
        <v>2</v>
      </c>
      <c r="J22" s="5">
        <v>3</v>
      </c>
      <c r="K22" s="5">
        <v>17</v>
      </c>
      <c r="L22" s="5">
        <v>21</v>
      </c>
    </row>
    <row r="23" spans="2:12" x14ac:dyDescent="0.2">
      <c r="B23" s="1" t="s">
        <v>696</v>
      </c>
      <c r="C23" s="18">
        <f>SUM(D23:E23,I23:L23,C96:L96)</f>
        <v>95</v>
      </c>
      <c r="D23" s="19" t="s">
        <v>52</v>
      </c>
      <c r="E23" s="5">
        <v>19</v>
      </c>
      <c r="F23" s="5">
        <v>3</v>
      </c>
      <c r="G23" s="5">
        <v>1</v>
      </c>
      <c r="H23" s="5">
        <v>4</v>
      </c>
      <c r="I23" s="19" t="s">
        <v>52</v>
      </c>
      <c r="J23" s="19" t="s">
        <v>52</v>
      </c>
      <c r="K23" s="5">
        <v>18</v>
      </c>
      <c r="L23" s="5">
        <v>19</v>
      </c>
    </row>
    <row r="24" spans="2:12" x14ac:dyDescent="0.2">
      <c r="B24" s="1" t="s">
        <v>697</v>
      </c>
      <c r="C24" s="18">
        <f>SUM(D24:E24,I24:L24,C97:L97)</f>
        <v>69</v>
      </c>
      <c r="D24" s="19" t="s">
        <v>52</v>
      </c>
      <c r="E24" s="5">
        <v>18</v>
      </c>
      <c r="F24" s="5">
        <v>1</v>
      </c>
      <c r="G24" s="5">
        <v>3</v>
      </c>
      <c r="H24" s="5">
        <v>4</v>
      </c>
      <c r="I24" s="19" t="s">
        <v>52</v>
      </c>
      <c r="J24" s="19" t="s">
        <v>52</v>
      </c>
      <c r="K24" s="5">
        <v>15</v>
      </c>
      <c r="L24" s="5">
        <v>12</v>
      </c>
    </row>
    <row r="25" spans="2:12" x14ac:dyDescent="0.2">
      <c r="C25" s="10"/>
    </row>
    <row r="26" spans="2:12" x14ac:dyDescent="0.2">
      <c r="B26" s="1" t="s">
        <v>698</v>
      </c>
      <c r="C26" s="18">
        <f t="shared" ref="C26:C31" si="2">SUM(D26:E26,I26:L26,C99:L99)</f>
        <v>131</v>
      </c>
      <c r="D26" s="19" t="s">
        <v>52</v>
      </c>
      <c r="E26" s="5">
        <v>47</v>
      </c>
      <c r="F26" s="5">
        <v>9</v>
      </c>
      <c r="G26" s="5">
        <v>13</v>
      </c>
      <c r="H26" s="5">
        <v>7</v>
      </c>
      <c r="I26" s="5">
        <v>2</v>
      </c>
      <c r="J26" s="5">
        <v>1</v>
      </c>
      <c r="K26" s="5">
        <v>20</v>
      </c>
      <c r="L26" s="5">
        <v>28</v>
      </c>
    </row>
    <row r="27" spans="2:12" x14ac:dyDescent="0.2">
      <c r="B27" s="1" t="s">
        <v>699</v>
      </c>
      <c r="C27" s="18">
        <f t="shared" si="2"/>
        <v>191</v>
      </c>
      <c r="D27" s="19" t="s">
        <v>52</v>
      </c>
      <c r="E27" s="5">
        <v>61</v>
      </c>
      <c r="F27" s="5">
        <v>14</v>
      </c>
      <c r="G27" s="5">
        <v>6</v>
      </c>
      <c r="H27" s="5">
        <v>19</v>
      </c>
      <c r="I27" s="5">
        <v>3</v>
      </c>
      <c r="J27" s="19" t="s">
        <v>52</v>
      </c>
      <c r="K27" s="5">
        <v>29</v>
      </c>
      <c r="L27" s="5">
        <v>25</v>
      </c>
    </row>
    <row r="28" spans="2:12" x14ac:dyDescent="0.2">
      <c r="B28" s="1" t="s">
        <v>700</v>
      </c>
      <c r="C28" s="18">
        <f t="shared" si="2"/>
        <v>80</v>
      </c>
      <c r="D28" s="19" t="s">
        <v>52</v>
      </c>
      <c r="E28" s="5">
        <v>23</v>
      </c>
      <c r="F28" s="5">
        <v>5</v>
      </c>
      <c r="G28" s="5">
        <v>3</v>
      </c>
      <c r="H28" s="5">
        <v>6</v>
      </c>
      <c r="I28" s="19" t="s">
        <v>52</v>
      </c>
      <c r="J28" s="19" t="s">
        <v>52</v>
      </c>
      <c r="K28" s="5">
        <v>10</v>
      </c>
      <c r="L28" s="5">
        <v>6</v>
      </c>
    </row>
    <row r="29" spans="2:12" x14ac:dyDescent="0.2">
      <c r="B29" s="1" t="s">
        <v>701</v>
      </c>
      <c r="C29" s="18">
        <f t="shared" si="2"/>
        <v>78</v>
      </c>
      <c r="D29" s="19" t="s">
        <v>52</v>
      </c>
      <c r="E29" s="5">
        <v>15</v>
      </c>
      <c r="F29" s="5">
        <v>2</v>
      </c>
      <c r="G29" s="5">
        <v>3</v>
      </c>
      <c r="H29" s="5">
        <v>3</v>
      </c>
      <c r="I29" s="5">
        <v>1</v>
      </c>
      <c r="J29" s="19" t="s">
        <v>52</v>
      </c>
      <c r="K29" s="5">
        <v>16</v>
      </c>
      <c r="L29" s="5">
        <v>15</v>
      </c>
    </row>
    <row r="30" spans="2:12" x14ac:dyDescent="0.2">
      <c r="B30" s="1" t="s">
        <v>702</v>
      </c>
      <c r="C30" s="18">
        <f t="shared" si="2"/>
        <v>152</v>
      </c>
      <c r="D30" s="5">
        <v>1</v>
      </c>
      <c r="E30" s="5">
        <v>48</v>
      </c>
      <c r="F30" s="5">
        <v>12</v>
      </c>
      <c r="G30" s="5">
        <v>5</v>
      </c>
      <c r="H30" s="5">
        <v>9</v>
      </c>
      <c r="I30" s="5">
        <v>1</v>
      </c>
      <c r="J30" s="19" t="s">
        <v>52</v>
      </c>
      <c r="K30" s="5">
        <v>22</v>
      </c>
      <c r="L30" s="5">
        <v>19</v>
      </c>
    </row>
    <row r="31" spans="2:12" x14ac:dyDescent="0.2">
      <c r="B31" s="1" t="s">
        <v>703</v>
      </c>
      <c r="C31" s="18">
        <f t="shared" si="2"/>
        <v>266</v>
      </c>
      <c r="D31" s="5">
        <v>1</v>
      </c>
      <c r="E31" s="5">
        <v>78</v>
      </c>
      <c r="F31" s="5">
        <v>11</v>
      </c>
      <c r="G31" s="5">
        <v>15</v>
      </c>
      <c r="H31" s="5">
        <v>14</v>
      </c>
      <c r="I31" s="5">
        <v>6</v>
      </c>
      <c r="J31" s="5">
        <v>2</v>
      </c>
      <c r="K31" s="5">
        <v>24</v>
      </c>
      <c r="L31" s="5">
        <v>46</v>
      </c>
    </row>
    <row r="32" spans="2:12" x14ac:dyDescent="0.2">
      <c r="C32" s="10"/>
    </row>
    <row r="33" spans="2:12" x14ac:dyDescent="0.2">
      <c r="B33" s="1" t="s">
        <v>704</v>
      </c>
      <c r="C33" s="18">
        <f>SUM(D33:E33,I33:L33,C106:L106)</f>
        <v>229</v>
      </c>
      <c r="D33" s="5">
        <v>1</v>
      </c>
      <c r="E33" s="5">
        <v>70</v>
      </c>
      <c r="F33" s="5">
        <v>20</v>
      </c>
      <c r="G33" s="5">
        <v>8</v>
      </c>
      <c r="H33" s="5">
        <v>11</v>
      </c>
      <c r="I33" s="5">
        <v>3</v>
      </c>
      <c r="J33" s="5">
        <v>2</v>
      </c>
      <c r="K33" s="5">
        <v>32</v>
      </c>
      <c r="L33" s="5">
        <v>52</v>
      </c>
    </row>
    <row r="34" spans="2:12" x14ac:dyDescent="0.2">
      <c r="B34" s="1" t="s">
        <v>705</v>
      </c>
      <c r="C34" s="18">
        <f>SUM(D34:E34,I34:L34,C107:L107)</f>
        <v>138</v>
      </c>
      <c r="D34" s="19" t="s">
        <v>52</v>
      </c>
      <c r="E34" s="5">
        <v>43</v>
      </c>
      <c r="F34" s="5">
        <v>8</v>
      </c>
      <c r="G34" s="5">
        <v>9</v>
      </c>
      <c r="H34" s="5">
        <v>8</v>
      </c>
      <c r="I34" s="5">
        <v>3</v>
      </c>
      <c r="J34" s="5">
        <v>3</v>
      </c>
      <c r="K34" s="5">
        <v>16</v>
      </c>
      <c r="L34" s="5">
        <v>20</v>
      </c>
    </row>
    <row r="35" spans="2:12" x14ac:dyDescent="0.2">
      <c r="B35" s="1" t="s">
        <v>706</v>
      </c>
      <c r="C35" s="18">
        <f>SUM(D35:E35,I35:L35,C108:L108)</f>
        <v>75</v>
      </c>
      <c r="D35" s="19" t="s">
        <v>52</v>
      </c>
      <c r="E35" s="5">
        <v>28</v>
      </c>
      <c r="F35" s="5">
        <v>5</v>
      </c>
      <c r="G35" s="5">
        <v>3</v>
      </c>
      <c r="H35" s="5">
        <v>8</v>
      </c>
      <c r="I35" s="19" t="s">
        <v>52</v>
      </c>
      <c r="J35" s="19" t="s">
        <v>52</v>
      </c>
      <c r="K35" s="5">
        <v>9</v>
      </c>
      <c r="L35" s="5">
        <v>8</v>
      </c>
    </row>
    <row r="36" spans="2:12" x14ac:dyDescent="0.2">
      <c r="B36" s="1" t="s">
        <v>707</v>
      </c>
      <c r="C36" s="18">
        <f>SUM(D36:E36,I36:L36,C109:L109)</f>
        <v>61</v>
      </c>
      <c r="D36" s="19" t="s">
        <v>52</v>
      </c>
      <c r="E36" s="5">
        <v>16</v>
      </c>
      <c r="F36" s="5">
        <v>3</v>
      </c>
      <c r="G36" s="5">
        <v>1</v>
      </c>
      <c r="H36" s="5">
        <v>4</v>
      </c>
      <c r="I36" s="19" t="s">
        <v>52</v>
      </c>
      <c r="J36" s="19" t="s">
        <v>52</v>
      </c>
      <c r="K36" s="5">
        <v>11</v>
      </c>
      <c r="L36" s="5">
        <v>8</v>
      </c>
    </row>
    <row r="37" spans="2:12" x14ac:dyDescent="0.2">
      <c r="B37" s="1" t="s">
        <v>708</v>
      </c>
      <c r="C37" s="18">
        <f>SUM(D37:E37,I37:L37,C110:L110)</f>
        <v>7</v>
      </c>
      <c r="D37" s="19" t="s">
        <v>52</v>
      </c>
      <c r="E37" s="19" t="s">
        <v>52</v>
      </c>
      <c r="F37" s="19" t="s">
        <v>52</v>
      </c>
      <c r="G37" s="19" t="s">
        <v>52</v>
      </c>
      <c r="H37" s="19" t="s">
        <v>52</v>
      </c>
      <c r="I37" s="5">
        <v>1</v>
      </c>
      <c r="J37" s="19" t="s">
        <v>52</v>
      </c>
      <c r="K37" s="5">
        <v>2</v>
      </c>
      <c r="L37" s="19" t="s">
        <v>52</v>
      </c>
    </row>
    <row r="38" spans="2:12" x14ac:dyDescent="0.2">
      <c r="C38" s="10"/>
    </row>
    <row r="39" spans="2:12" x14ac:dyDescent="0.2">
      <c r="B39" s="1" t="s">
        <v>709</v>
      </c>
      <c r="C39" s="18">
        <f>SUM(D39:E39,I39:L39,C112:L112)</f>
        <v>171</v>
      </c>
      <c r="D39" s="19" t="s">
        <v>52</v>
      </c>
      <c r="E39" s="5">
        <v>44</v>
      </c>
      <c r="F39" s="5">
        <v>11</v>
      </c>
      <c r="G39" s="5">
        <v>7</v>
      </c>
      <c r="H39" s="5">
        <v>7</v>
      </c>
      <c r="I39" s="5">
        <v>4</v>
      </c>
      <c r="J39" s="5">
        <v>2</v>
      </c>
      <c r="K39" s="5">
        <v>29</v>
      </c>
      <c r="L39" s="5">
        <v>27</v>
      </c>
    </row>
    <row r="40" spans="2:12" x14ac:dyDescent="0.2">
      <c r="B40" s="1" t="s">
        <v>710</v>
      </c>
      <c r="C40" s="18">
        <f>SUM(D40:E40,I40:L40,C113:L113)</f>
        <v>88</v>
      </c>
      <c r="D40" s="5">
        <v>1</v>
      </c>
      <c r="E40" s="5">
        <v>22</v>
      </c>
      <c r="F40" s="5">
        <v>5</v>
      </c>
      <c r="G40" s="5">
        <v>2</v>
      </c>
      <c r="H40" s="5">
        <v>9</v>
      </c>
      <c r="I40" s="5">
        <v>2</v>
      </c>
      <c r="J40" s="5">
        <v>1</v>
      </c>
      <c r="K40" s="5">
        <v>16</v>
      </c>
      <c r="L40" s="5">
        <v>11</v>
      </c>
    </row>
    <row r="41" spans="2:12" x14ac:dyDescent="0.2">
      <c r="B41" s="1" t="s">
        <v>711</v>
      </c>
      <c r="C41" s="18">
        <f>SUM(D41:E41,I41:L41,C114:L114)</f>
        <v>120</v>
      </c>
      <c r="D41" s="19" t="s">
        <v>52</v>
      </c>
      <c r="E41" s="5">
        <v>34</v>
      </c>
      <c r="F41" s="5">
        <v>8</v>
      </c>
      <c r="G41" s="5">
        <v>1</v>
      </c>
      <c r="H41" s="5">
        <v>3</v>
      </c>
      <c r="I41" s="5">
        <v>1</v>
      </c>
      <c r="J41" s="5">
        <v>1</v>
      </c>
      <c r="K41" s="5">
        <v>23</v>
      </c>
      <c r="L41" s="5">
        <v>23</v>
      </c>
    </row>
    <row r="42" spans="2:12" x14ac:dyDescent="0.2">
      <c r="B42" s="1" t="s">
        <v>712</v>
      </c>
      <c r="C42" s="18">
        <f>SUM(D42:E42,I42:L42,C115:L115)</f>
        <v>112</v>
      </c>
      <c r="D42" s="19" t="s">
        <v>52</v>
      </c>
      <c r="E42" s="5">
        <v>33</v>
      </c>
      <c r="F42" s="5">
        <v>6</v>
      </c>
      <c r="G42" s="5">
        <v>3</v>
      </c>
      <c r="H42" s="5">
        <v>8</v>
      </c>
      <c r="I42" s="19" t="s">
        <v>52</v>
      </c>
      <c r="J42" s="5">
        <v>2</v>
      </c>
      <c r="K42" s="5">
        <v>18</v>
      </c>
      <c r="L42" s="5">
        <v>23</v>
      </c>
    </row>
    <row r="43" spans="2:12" x14ac:dyDescent="0.2">
      <c r="B43" s="1" t="s">
        <v>713</v>
      </c>
      <c r="C43" s="18">
        <f>SUM(D43:E43,I43:L43,C116:L116)</f>
        <v>85</v>
      </c>
      <c r="D43" s="5">
        <v>1</v>
      </c>
      <c r="E43" s="5">
        <v>22</v>
      </c>
      <c r="F43" s="5">
        <v>3</v>
      </c>
      <c r="G43" s="5">
        <v>3</v>
      </c>
      <c r="H43" s="5">
        <v>5</v>
      </c>
      <c r="I43" s="5">
        <v>3</v>
      </c>
      <c r="J43" s="19" t="s">
        <v>52</v>
      </c>
      <c r="K43" s="5">
        <v>8</v>
      </c>
      <c r="L43" s="5">
        <v>15</v>
      </c>
    </row>
    <row r="44" spans="2:12" x14ac:dyDescent="0.2">
      <c r="C44" s="10"/>
    </row>
    <row r="45" spans="2:12" x14ac:dyDescent="0.2">
      <c r="B45" s="1" t="s">
        <v>714</v>
      </c>
      <c r="C45" s="18">
        <f t="shared" ref="C45:C54" si="3">SUM(D45:E45,I45:L45,C118:L118)</f>
        <v>105</v>
      </c>
      <c r="D45" s="5">
        <v>1</v>
      </c>
      <c r="E45" s="5">
        <v>20</v>
      </c>
      <c r="F45" s="5">
        <v>5</v>
      </c>
      <c r="G45" s="5">
        <v>2</v>
      </c>
      <c r="H45" s="5">
        <v>4</v>
      </c>
      <c r="I45" s="5">
        <v>1</v>
      </c>
      <c r="J45" s="19" t="s">
        <v>52</v>
      </c>
      <c r="K45" s="5">
        <v>27</v>
      </c>
      <c r="L45" s="5">
        <v>9</v>
      </c>
    </row>
    <row r="46" spans="2:12" x14ac:dyDescent="0.2">
      <c r="B46" s="1" t="s">
        <v>715</v>
      </c>
      <c r="C46" s="18">
        <f t="shared" si="3"/>
        <v>82</v>
      </c>
      <c r="D46" s="19" t="s">
        <v>52</v>
      </c>
      <c r="E46" s="5">
        <v>29</v>
      </c>
      <c r="F46" s="5">
        <v>7</v>
      </c>
      <c r="G46" s="5">
        <v>4</v>
      </c>
      <c r="H46" s="5">
        <v>2</v>
      </c>
      <c r="I46" s="19" t="s">
        <v>52</v>
      </c>
      <c r="J46" s="19" t="s">
        <v>52</v>
      </c>
      <c r="K46" s="5">
        <v>11</v>
      </c>
      <c r="L46" s="5">
        <v>13</v>
      </c>
    </row>
    <row r="47" spans="2:12" x14ac:dyDescent="0.2">
      <c r="B47" s="1" t="s">
        <v>716</v>
      </c>
      <c r="C47" s="18">
        <f t="shared" si="3"/>
        <v>70</v>
      </c>
      <c r="D47" s="19" t="s">
        <v>52</v>
      </c>
      <c r="E47" s="5">
        <v>18</v>
      </c>
      <c r="F47" s="5">
        <v>2</v>
      </c>
      <c r="G47" s="5">
        <v>4</v>
      </c>
      <c r="H47" s="5">
        <v>4</v>
      </c>
      <c r="I47" s="5">
        <v>1</v>
      </c>
      <c r="J47" s="5">
        <v>2</v>
      </c>
      <c r="K47" s="5">
        <v>5</v>
      </c>
      <c r="L47" s="5">
        <v>11</v>
      </c>
    </row>
    <row r="48" spans="2:12" x14ac:dyDescent="0.2">
      <c r="B48" s="1" t="s">
        <v>717</v>
      </c>
      <c r="C48" s="18">
        <f t="shared" si="3"/>
        <v>69</v>
      </c>
      <c r="D48" s="19" t="s">
        <v>52</v>
      </c>
      <c r="E48" s="5">
        <v>15</v>
      </c>
      <c r="F48" s="5">
        <v>5</v>
      </c>
      <c r="G48" s="5">
        <v>2</v>
      </c>
      <c r="H48" s="5">
        <v>4</v>
      </c>
      <c r="I48" s="5">
        <v>1</v>
      </c>
      <c r="J48" s="19" t="s">
        <v>52</v>
      </c>
      <c r="K48" s="5">
        <v>17</v>
      </c>
      <c r="L48" s="5">
        <v>3</v>
      </c>
    </row>
    <row r="49" spans="2:12" x14ac:dyDescent="0.2">
      <c r="B49" s="1" t="s">
        <v>718</v>
      </c>
      <c r="C49" s="18">
        <f t="shared" si="3"/>
        <v>36</v>
      </c>
      <c r="D49" s="19" t="s">
        <v>52</v>
      </c>
      <c r="E49" s="5">
        <v>8</v>
      </c>
      <c r="F49" s="5">
        <v>2</v>
      </c>
      <c r="G49" s="19" t="s">
        <v>52</v>
      </c>
      <c r="H49" s="5">
        <v>3</v>
      </c>
      <c r="I49" s="19" t="s">
        <v>52</v>
      </c>
      <c r="J49" s="19" t="s">
        <v>52</v>
      </c>
      <c r="K49" s="5">
        <v>5</v>
      </c>
      <c r="L49" s="5">
        <v>8</v>
      </c>
    </row>
    <row r="50" spans="2:12" x14ac:dyDescent="0.2">
      <c r="B50" s="1" t="s">
        <v>719</v>
      </c>
      <c r="C50" s="18">
        <f t="shared" si="3"/>
        <v>30</v>
      </c>
      <c r="D50" s="19" t="s">
        <v>52</v>
      </c>
      <c r="E50" s="5">
        <v>14</v>
      </c>
      <c r="F50" s="5">
        <v>1</v>
      </c>
      <c r="G50" s="19" t="s">
        <v>52</v>
      </c>
      <c r="H50" s="5">
        <v>5</v>
      </c>
      <c r="I50" s="19" t="s">
        <v>52</v>
      </c>
      <c r="J50" s="19" t="s">
        <v>52</v>
      </c>
      <c r="K50" s="5">
        <v>6</v>
      </c>
      <c r="L50" s="5">
        <v>2</v>
      </c>
    </row>
    <row r="51" spans="2:12" x14ac:dyDescent="0.2">
      <c r="B51" s="1" t="s">
        <v>720</v>
      </c>
      <c r="C51" s="18">
        <f t="shared" si="3"/>
        <v>45</v>
      </c>
      <c r="D51" s="19" t="s">
        <v>52</v>
      </c>
      <c r="E51" s="5">
        <v>13</v>
      </c>
      <c r="F51" s="5">
        <v>3</v>
      </c>
      <c r="G51" s="5">
        <v>2</v>
      </c>
      <c r="H51" s="5">
        <v>3</v>
      </c>
      <c r="I51" s="19" t="s">
        <v>52</v>
      </c>
      <c r="J51" s="5">
        <v>1</v>
      </c>
      <c r="K51" s="5">
        <v>8</v>
      </c>
      <c r="L51" s="5">
        <v>8</v>
      </c>
    </row>
    <row r="52" spans="2:12" x14ac:dyDescent="0.2">
      <c r="B52" s="1" t="s">
        <v>721</v>
      </c>
      <c r="C52" s="18">
        <f t="shared" si="3"/>
        <v>67</v>
      </c>
      <c r="D52" s="19" t="s">
        <v>52</v>
      </c>
      <c r="E52" s="5">
        <v>19</v>
      </c>
      <c r="F52" s="5">
        <v>3</v>
      </c>
      <c r="G52" s="19" t="s">
        <v>52</v>
      </c>
      <c r="H52" s="5">
        <v>7</v>
      </c>
      <c r="I52" s="19" t="s">
        <v>52</v>
      </c>
      <c r="J52" s="5">
        <v>1</v>
      </c>
      <c r="K52" s="5">
        <v>9</v>
      </c>
      <c r="L52" s="5">
        <v>9</v>
      </c>
    </row>
    <row r="53" spans="2:12" x14ac:dyDescent="0.2">
      <c r="B53" s="1" t="s">
        <v>722</v>
      </c>
      <c r="C53" s="18">
        <f t="shared" si="3"/>
        <v>77</v>
      </c>
      <c r="D53" s="5">
        <v>1</v>
      </c>
      <c r="E53" s="5">
        <v>15</v>
      </c>
      <c r="F53" s="5">
        <v>2</v>
      </c>
      <c r="G53" s="19" t="s">
        <v>52</v>
      </c>
      <c r="H53" s="5">
        <v>4</v>
      </c>
      <c r="I53" s="5">
        <v>2</v>
      </c>
      <c r="J53" s="19" t="s">
        <v>52</v>
      </c>
      <c r="K53" s="5">
        <v>16</v>
      </c>
      <c r="L53" s="5">
        <v>17</v>
      </c>
    </row>
    <row r="54" spans="2:12" x14ac:dyDescent="0.2">
      <c r="B54" s="1" t="s">
        <v>723</v>
      </c>
      <c r="C54" s="18">
        <f t="shared" si="3"/>
        <v>101</v>
      </c>
      <c r="D54" s="19" t="s">
        <v>52</v>
      </c>
      <c r="E54" s="5">
        <v>25</v>
      </c>
      <c r="F54" s="5">
        <v>5</v>
      </c>
      <c r="G54" s="5">
        <v>4</v>
      </c>
      <c r="H54" s="5">
        <v>8</v>
      </c>
      <c r="I54" s="5">
        <v>1</v>
      </c>
      <c r="J54" s="5">
        <v>1</v>
      </c>
      <c r="K54" s="5">
        <v>15</v>
      </c>
      <c r="L54" s="5">
        <v>16</v>
      </c>
    </row>
    <row r="55" spans="2:12" x14ac:dyDescent="0.2">
      <c r="C55" s="10"/>
    </row>
    <row r="56" spans="2:12" x14ac:dyDescent="0.2">
      <c r="B56" s="1" t="s">
        <v>724</v>
      </c>
      <c r="C56" s="18">
        <f t="shared" ref="C56:C62" si="4">SUM(D56:E56,I56:L56,C129:L129)</f>
        <v>186</v>
      </c>
      <c r="D56" s="19" t="s">
        <v>52</v>
      </c>
      <c r="E56" s="5">
        <v>53</v>
      </c>
      <c r="F56" s="5">
        <v>11</v>
      </c>
      <c r="G56" s="5">
        <v>7</v>
      </c>
      <c r="H56" s="5">
        <v>13</v>
      </c>
      <c r="I56" s="5">
        <v>2</v>
      </c>
      <c r="J56" s="5">
        <v>1</v>
      </c>
      <c r="K56" s="5">
        <v>33</v>
      </c>
      <c r="L56" s="5">
        <v>19</v>
      </c>
    </row>
    <row r="57" spans="2:12" x14ac:dyDescent="0.2">
      <c r="B57" s="1" t="s">
        <v>725</v>
      </c>
      <c r="C57" s="18">
        <f t="shared" si="4"/>
        <v>41</v>
      </c>
      <c r="D57" s="19" t="s">
        <v>52</v>
      </c>
      <c r="E57" s="5">
        <v>14</v>
      </c>
      <c r="F57" s="5">
        <v>2</v>
      </c>
      <c r="G57" s="5">
        <v>1</v>
      </c>
      <c r="H57" s="5">
        <v>4</v>
      </c>
      <c r="I57" s="5">
        <v>1</v>
      </c>
      <c r="J57" s="19" t="s">
        <v>52</v>
      </c>
      <c r="K57" s="5">
        <v>2</v>
      </c>
      <c r="L57" s="5">
        <v>7</v>
      </c>
    </row>
    <row r="58" spans="2:12" x14ac:dyDescent="0.2">
      <c r="B58" s="1" t="s">
        <v>726</v>
      </c>
      <c r="C58" s="18">
        <f t="shared" si="4"/>
        <v>49</v>
      </c>
      <c r="D58" s="19" t="s">
        <v>52</v>
      </c>
      <c r="E58" s="5">
        <v>17</v>
      </c>
      <c r="F58" s="5">
        <v>4</v>
      </c>
      <c r="G58" s="5">
        <v>4</v>
      </c>
      <c r="H58" s="5">
        <v>2</v>
      </c>
      <c r="I58" s="19" t="s">
        <v>52</v>
      </c>
      <c r="J58" s="5">
        <v>2</v>
      </c>
      <c r="K58" s="5">
        <v>9</v>
      </c>
      <c r="L58" s="5">
        <v>6</v>
      </c>
    </row>
    <row r="59" spans="2:12" x14ac:dyDescent="0.2">
      <c r="B59" s="1" t="s">
        <v>727</v>
      </c>
      <c r="C59" s="18">
        <f t="shared" si="4"/>
        <v>120</v>
      </c>
      <c r="D59" s="19" t="s">
        <v>52</v>
      </c>
      <c r="E59" s="5">
        <v>39</v>
      </c>
      <c r="F59" s="5">
        <v>7</v>
      </c>
      <c r="G59" s="5">
        <v>6</v>
      </c>
      <c r="H59" s="5">
        <v>13</v>
      </c>
      <c r="I59" s="5">
        <v>2</v>
      </c>
      <c r="J59" s="5">
        <v>1</v>
      </c>
      <c r="K59" s="5">
        <v>20</v>
      </c>
      <c r="L59" s="5">
        <v>12</v>
      </c>
    </row>
    <row r="60" spans="2:12" x14ac:dyDescent="0.2">
      <c r="B60" s="1" t="s">
        <v>728</v>
      </c>
      <c r="C60" s="18">
        <f t="shared" si="4"/>
        <v>62</v>
      </c>
      <c r="D60" s="19" t="s">
        <v>52</v>
      </c>
      <c r="E60" s="5">
        <v>17</v>
      </c>
      <c r="F60" s="5">
        <v>1</v>
      </c>
      <c r="G60" s="5">
        <v>2</v>
      </c>
      <c r="H60" s="5">
        <v>3</v>
      </c>
      <c r="I60" s="5">
        <v>1</v>
      </c>
      <c r="J60" s="5">
        <v>2</v>
      </c>
      <c r="K60" s="5">
        <v>13</v>
      </c>
      <c r="L60" s="5">
        <v>10</v>
      </c>
    </row>
    <row r="61" spans="2:12" x14ac:dyDescent="0.2">
      <c r="B61" s="1" t="s">
        <v>729</v>
      </c>
      <c r="C61" s="18">
        <f t="shared" si="4"/>
        <v>76</v>
      </c>
      <c r="D61" s="5">
        <v>3</v>
      </c>
      <c r="E61" s="5">
        <v>17</v>
      </c>
      <c r="F61" s="5">
        <v>3</v>
      </c>
      <c r="G61" s="19" t="s">
        <v>52</v>
      </c>
      <c r="H61" s="5">
        <v>3</v>
      </c>
      <c r="I61" s="5">
        <v>1</v>
      </c>
      <c r="J61" s="5">
        <v>3</v>
      </c>
      <c r="K61" s="5">
        <v>10</v>
      </c>
      <c r="L61" s="5">
        <v>10</v>
      </c>
    </row>
    <row r="62" spans="2:12" x14ac:dyDescent="0.2">
      <c r="B62" s="1" t="s">
        <v>730</v>
      </c>
      <c r="C62" s="18">
        <f t="shared" si="4"/>
        <v>178</v>
      </c>
      <c r="D62" s="19" t="s">
        <v>52</v>
      </c>
      <c r="E62" s="5">
        <v>63</v>
      </c>
      <c r="F62" s="5">
        <v>13</v>
      </c>
      <c r="G62" s="5">
        <v>6</v>
      </c>
      <c r="H62" s="5">
        <v>13</v>
      </c>
      <c r="I62" s="5">
        <v>4</v>
      </c>
      <c r="J62" s="5">
        <v>1</v>
      </c>
      <c r="K62" s="5">
        <v>26</v>
      </c>
      <c r="L62" s="5">
        <v>32</v>
      </c>
    </row>
    <row r="63" spans="2:12" x14ac:dyDescent="0.2">
      <c r="C63" s="10"/>
    </row>
    <row r="64" spans="2:12" x14ac:dyDescent="0.2">
      <c r="B64" s="1" t="s">
        <v>731</v>
      </c>
      <c r="C64" s="18">
        <f t="shared" ref="C64:C70" si="5">SUM(D64:E64,I64:L64,C137:L137)</f>
        <v>212</v>
      </c>
      <c r="D64" s="5">
        <v>1</v>
      </c>
      <c r="E64" s="5">
        <v>59</v>
      </c>
      <c r="F64" s="5">
        <v>12</v>
      </c>
      <c r="G64" s="5">
        <v>12</v>
      </c>
      <c r="H64" s="5">
        <v>8</v>
      </c>
      <c r="I64" s="5">
        <v>2</v>
      </c>
      <c r="J64" s="5">
        <v>2</v>
      </c>
      <c r="K64" s="5">
        <v>48</v>
      </c>
      <c r="L64" s="5">
        <v>20</v>
      </c>
    </row>
    <row r="65" spans="1:12" x14ac:dyDescent="0.2">
      <c r="B65" s="1" t="s">
        <v>732</v>
      </c>
      <c r="C65" s="18">
        <f t="shared" si="5"/>
        <v>59</v>
      </c>
      <c r="D65" s="19" t="s">
        <v>52</v>
      </c>
      <c r="E65" s="5">
        <v>13</v>
      </c>
      <c r="F65" s="5">
        <v>1</v>
      </c>
      <c r="G65" s="19" t="s">
        <v>52</v>
      </c>
      <c r="H65" s="5">
        <v>7</v>
      </c>
      <c r="I65" s="5">
        <v>1</v>
      </c>
      <c r="J65" s="19" t="s">
        <v>52</v>
      </c>
      <c r="K65" s="5">
        <v>10</v>
      </c>
      <c r="L65" s="5">
        <v>14</v>
      </c>
    </row>
    <row r="66" spans="1:12" x14ac:dyDescent="0.2">
      <c r="B66" s="1" t="s">
        <v>733</v>
      </c>
      <c r="C66" s="18">
        <f t="shared" si="5"/>
        <v>86</v>
      </c>
      <c r="D66" s="19" t="s">
        <v>52</v>
      </c>
      <c r="E66" s="5">
        <v>21</v>
      </c>
      <c r="F66" s="5">
        <v>2</v>
      </c>
      <c r="G66" s="5">
        <v>3</v>
      </c>
      <c r="H66" s="5">
        <v>7</v>
      </c>
      <c r="I66" s="5">
        <v>3</v>
      </c>
      <c r="J66" s="19" t="s">
        <v>52</v>
      </c>
      <c r="K66" s="5">
        <v>16</v>
      </c>
      <c r="L66" s="5">
        <v>16</v>
      </c>
    </row>
    <row r="67" spans="1:12" x14ac:dyDescent="0.2">
      <c r="B67" s="1" t="s">
        <v>734</v>
      </c>
      <c r="C67" s="18">
        <f t="shared" si="5"/>
        <v>58</v>
      </c>
      <c r="D67" s="19" t="s">
        <v>52</v>
      </c>
      <c r="E67" s="5">
        <v>18</v>
      </c>
      <c r="F67" s="5">
        <v>3</v>
      </c>
      <c r="G67" s="5">
        <v>3</v>
      </c>
      <c r="H67" s="5">
        <v>5</v>
      </c>
      <c r="I67" s="19" t="s">
        <v>52</v>
      </c>
      <c r="J67" s="19" t="s">
        <v>52</v>
      </c>
      <c r="K67" s="5">
        <v>8</v>
      </c>
      <c r="L67" s="5">
        <v>12</v>
      </c>
    </row>
    <row r="68" spans="1:12" x14ac:dyDescent="0.2">
      <c r="B68" s="1" t="s">
        <v>735</v>
      </c>
      <c r="C68" s="18">
        <f t="shared" si="5"/>
        <v>21</v>
      </c>
      <c r="D68" s="19" t="s">
        <v>52</v>
      </c>
      <c r="E68" s="5">
        <v>5</v>
      </c>
      <c r="F68" s="5">
        <v>1</v>
      </c>
      <c r="G68" s="19" t="s">
        <v>52</v>
      </c>
      <c r="H68" s="5">
        <v>1</v>
      </c>
      <c r="I68" s="19" t="s">
        <v>52</v>
      </c>
      <c r="J68" s="19" t="s">
        <v>52</v>
      </c>
      <c r="K68" s="5">
        <v>7</v>
      </c>
      <c r="L68" s="5">
        <v>1</v>
      </c>
    </row>
    <row r="69" spans="1:12" x14ac:dyDescent="0.2">
      <c r="B69" s="1" t="s">
        <v>736</v>
      </c>
      <c r="C69" s="18">
        <f t="shared" si="5"/>
        <v>66</v>
      </c>
      <c r="D69" s="19" t="s">
        <v>52</v>
      </c>
      <c r="E69" s="5">
        <v>13</v>
      </c>
      <c r="F69" s="5">
        <v>3</v>
      </c>
      <c r="G69" s="19" t="s">
        <v>52</v>
      </c>
      <c r="H69" s="5">
        <v>4</v>
      </c>
      <c r="I69" s="5">
        <v>2</v>
      </c>
      <c r="J69" s="19" t="s">
        <v>52</v>
      </c>
      <c r="K69" s="5">
        <v>13</v>
      </c>
      <c r="L69" s="5">
        <v>10</v>
      </c>
    </row>
    <row r="70" spans="1:12" x14ac:dyDescent="0.2">
      <c r="B70" s="1" t="s">
        <v>737</v>
      </c>
      <c r="C70" s="18">
        <f t="shared" si="5"/>
        <v>10</v>
      </c>
      <c r="D70" s="19" t="s">
        <v>52</v>
      </c>
      <c r="E70" s="5">
        <v>6</v>
      </c>
      <c r="F70" s="5">
        <v>1</v>
      </c>
      <c r="G70" s="19" t="s">
        <v>52</v>
      </c>
      <c r="H70" s="5">
        <v>1</v>
      </c>
      <c r="I70" s="5">
        <v>1</v>
      </c>
      <c r="J70" s="19" t="s">
        <v>52</v>
      </c>
      <c r="K70" s="19" t="s">
        <v>52</v>
      </c>
      <c r="L70" s="5">
        <v>2</v>
      </c>
    </row>
    <row r="71" spans="1:12" ht="18" thickBot="1" x14ac:dyDescent="0.25">
      <c r="B71" s="6"/>
      <c r="C71" s="23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C72" s="1" t="s">
        <v>738</v>
      </c>
      <c r="G72" s="1" t="s">
        <v>739</v>
      </c>
    </row>
    <row r="73" spans="1:12" x14ac:dyDescent="0.2">
      <c r="A73" s="1"/>
    </row>
    <row r="74" spans="1:12" x14ac:dyDescent="0.2">
      <c r="A74" s="1"/>
    </row>
    <row r="79" spans="1:12" x14ac:dyDescent="0.2">
      <c r="E79" s="4" t="s">
        <v>622</v>
      </c>
    </row>
    <row r="80" spans="1:12" x14ac:dyDescent="0.2">
      <c r="C80" s="4" t="s">
        <v>740</v>
      </c>
      <c r="E80" s="21"/>
    </row>
    <row r="81" spans="2:13" ht="18" thickBot="1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9" t="s">
        <v>2</v>
      </c>
    </row>
    <row r="82" spans="2:13" x14ac:dyDescent="0.2">
      <c r="C82" s="16" t="s">
        <v>657</v>
      </c>
      <c r="D82" s="10"/>
      <c r="E82" s="16" t="s">
        <v>668</v>
      </c>
      <c r="F82" s="10"/>
      <c r="G82" s="10"/>
      <c r="H82" s="10"/>
      <c r="I82" s="10"/>
      <c r="J82" s="16" t="s">
        <v>673</v>
      </c>
      <c r="K82" s="10"/>
      <c r="L82" s="16" t="s">
        <v>51</v>
      </c>
      <c r="M82" s="3"/>
    </row>
    <row r="83" spans="2:13" x14ac:dyDescent="0.2">
      <c r="B83" s="31" t="s">
        <v>682</v>
      </c>
      <c r="C83" s="17" t="s">
        <v>666</v>
      </c>
      <c r="D83" s="17" t="s">
        <v>667</v>
      </c>
      <c r="E83" s="17" t="s">
        <v>676</v>
      </c>
      <c r="F83" s="17" t="s">
        <v>669</v>
      </c>
      <c r="G83" s="17" t="s">
        <v>670</v>
      </c>
      <c r="H83" s="17" t="s">
        <v>671</v>
      </c>
      <c r="I83" s="17" t="s">
        <v>672</v>
      </c>
      <c r="J83" s="17" t="s">
        <v>677</v>
      </c>
      <c r="K83" s="17" t="s">
        <v>675</v>
      </c>
      <c r="L83" s="17" t="s">
        <v>678</v>
      </c>
      <c r="M83" s="3"/>
    </row>
    <row r="84" spans="2:13" x14ac:dyDescent="0.2">
      <c r="C84" s="10"/>
    </row>
    <row r="85" spans="2:13" x14ac:dyDescent="0.2">
      <c r="B85" s="4" t="s">
        <v>687</v>
      </c>
      <c r="C85" s="20">
        <f t="shared" ref="C85:L85" si="6">SUM(C87:C143)</f>
        <v>49</v>
      </c>
      <c r="D85" s="21">
        <f t="shared" si="6"/>
        <v>780</v>
      </c>
      <c r="E85" s="21">
        <f t="shared" si="6"/>
        <v>146</v>
      </c>
      <c r="F85" s="21">
        <f t="shared" si="6"/>
        <v>58</v>
      </c>
      <c r="G85" s="21">
        <f t="shared" si="6"/>
        <v>165</v>
      </c>
      <c r="H85" s="21">
        <f t="shared" si="6"/>
        <v>169</v>
      </c>
      <c r="I85" s="21">
        <f t="shared" si="6"/>
        <v>370</v>
      </c>
      <c r="J85" s="21">
        <f t="shared" si="6"/>
        <v>400</v>
      </c>
      <c r="K85" s="21">
        <f t="shared" si="6"/>
        <v>254</v>
      </c>
      <c r="L85" s="21">
        <f t="shared" si="6"/>
        <v>1238</v>
      </c>
    </row>
    <row r="86" spans="2:13" x14ac:dyDescent="0.2">
      <c r="C86" s="10"/>
    </row>
    <row r="87" spans="2:13" x14ac:dyDescent="0.2">
      <c r="B87" s="1" t="s">
        <v>688</v>
      </c>
      <c r="C87" s="28">
        <v>16</v>
      </c>
      <c r="D87" s="5">
        <v>248</v>
      </c>
      <c r="E87" s="5">
        <v>40</v>
      </c>
      <c r="F87" s="5">
        <v>10</v>
      </c>
      <c r="G87" s="5">
        <v>51</v>
      </c>
      <c r="H87" s="5">
        <v>64</v>
      </c>
      <c r="I87" s="5">
        <v>102</v>
      </c>
      <c r="J87" s="5">
        <v>112</v>
      </c>
      <c r="K87" s="5">
        <v>91</v>
      </c>
      <c r="L87" s="5">
        <v>376</v>
      </c>
    </row>
    <row r="88" spans="2:13" x14ac:dyDescent="0.2">
      <c r="B88" s="1" t="s">
        <v>689</v>
      </c>
      <c r="C88" s="28">
        <v>5</v>
      </c>
      <c r="D88" s="5">
        <v>38</v>
      </c>
      <c r="E88" s="5">
        <v>8</v>
      </c>
      <c r="F88" s="5">
        <v>3</v>
      </c>
      <c r="G88" s="5">
        <v>6</v>
      </c>
      <c r="H88" s="5">
        <v>15</v>
      </c>
      <c r="I88" s="5">
        <v>14</v>
      </c>
      <c r="J88" s="5">
        <v>16</v>
      </c>
      <c r="K88" s="5">
        <v>11</v>
      </c>
      <c r="L88" s="5">
        <v>58</v>
      </c>
    </row>
    <row r="89" spans="2:13" x14ac:dyDescent="0.2">
      <c r="B89" s="1" t="s">
        <v>690</v>
      </c>
      <c r="C89" s="28">
        <v>2</v>
      </c>
      <c r="D89" s="5">
        <v>24</v>
      </c>
      <c r="E89" s="5">
        <v>10</v>
      </c>
      <c r="F89" s="5">
        <v>2</v>
      </c>
      <c r="G89" s="5">
        <v>7</v>
      </c>
      <c r="H89" s="5">
        <v>5</v>
      </c>
      <c r="I89" s="5">
        <v>1</v>
      </c>
      <c r="J89" s="5">
        <v>11</v>
      </c>
      <c r="K89" s="5">
        <v>11</v>
      </c>
      <c r="L89" s="5">
        <v>68</v>
      </c>
    </row>
    <row r="90" spans="2:13" x14ac:dyDescent="0.2">
      <c r="B90" s="1" t="s">
        <v>691</v>
      </c>
      <c r="C90" s="32" t="s">
        <v>52</v>
      </c>
      <c r="D90" s="5">
        <v>25</v>
      </c>
      <c r="E90" s="5">
        <v>2</v>
      </c>
      <c r="F90" s="5">
        <v>1</v>
      </c>
      <c r="G90" s="5">
        <v>6</v>
      </c>
      <c r="H90" s="5">
        <v>5</v>
      </c>
      <c r="I90" s="5">
        <v>23</v>
      </c>
      <c r="J90" s="5">
        <v>8</v>
      </c>
      <c r="K90" s="5">
        <v>7</v>
      </c>
      <c r="L90" s="5">
        <v>30</v>
      </c>
    </row>
    <row r="91" spans="2:13" x14ac:dyDescent="0.2">
      <c r="B91" s="1" t="s">
        <v>692</v>
      </c>
      <c r="C91" s="28">
        <v>1</v>
      </c>
      <c r="D91" s="5">
        <v>18</v>
      </c>
      <c r="E91" s="5">
        <v>1</v>
      </c>
      <c r="F91" s="5">
        <v>2</v>
      </c>
      <c r="G91" s="5">
        <v>5</v>
      </c>
      <c r="H91" s="5">
        <v>7</v>
      </c>
      <c r="I91" s="5">
        <v>29</v>
      </c>
      <c r="J91" s="5">
        <v>22</v>
      </c>
      <c r="K91" s="5">
        <v>6</v>
      </c>
      <c r="L91" s="5">
        <v>40</v>
      </c>
    </row>
    <row r="92" spans="2:13" x14ac:dyDescent="0.2">
      <c r="B92" s="1" t="s">
        <v>693</v>
      </c>
      <c r="C92" s="28">
        <v>7</v>
      </c>
      <c r="D92" s="5">
        <v>39</v>
      </c>
      <c r="E92" s="5">
        <v>9</v>
      </c>
      <c r="F92" s="5">
        <v>4</v>
      </c>
      <c r="G92" s="5">
        <v>11</v>
      </c>
      <c r="H92" s="5">
        <v>13</v>
      </c>
      <c r="I92" s="5">
        <v>5</v>
      </c>
      <c r="J92" s="5">
        <v>24</v>
      </c>
      <c r="K92" s="5">
        <v>17</v>
      </c>
      <c r="L92" s="5">
        <v>101</v>
      </c>
    </row>
    <row r="93" spans="2:13" x14ac:dyDescent="0.2">
      <c r="B93" s="1" t="s">
        <v>694</v>
      </c>
      <c r="C93" s="28">
        <v>2</v>
      </c>
      <c r="D93" s="5">
        <v>25</v>
      </c>
      <c r="E93" s="5">
        <v>2</v>
      </c>
      <c r="F93" s="5">
        <v>6</v>
      </c>
      <c r="G93" s="5">
        <v>5</v>
      </c>
      <c r="H93" s="5">
        <v>4</v>
      </c>
      <c r="I93" s="5">
        <v>23</v>
      </c>
      <c r="J93" s="5">
        <v>14</v>
      </c>
      <c r="K93" s="5">
        <v>6</v>
      </c>
      <c r="L93" s="5">
        <v>61</v>
      </c>
    </row>
    <row r="94" spans="2:13" x14ac:dyDescent="0.2">
      <c r="C94" s="28"/>
      <c r="L94" s="5"/>
    </row>
    <row r="95" spans="2:13" x14ac:dyDescent="0.2">
      <c r="B95" s="1" t="s">
        <v>695</v>
      </c>
      <c r="C95" s="28">
        <v>2</v>
      </c>
      <c r="D95" s="5">
        <v>18</v>
      </c>
      <c r="E95" s="5">
        <v>2</v>
      </c>
      <c r="F95" s="19" t="s">
        <v>52</v>
      </c>
      <c r="G95" s="5">
        <v>2</v>
      </c>
      <c r="H95" s="5">
        <v>3</v>
      </c>
      <c r="I95" s="5">
        <v>5</v>
      </c>
      <c r="J95" s="5">
        <v>11</v>
      </c>
      <c r="K95" s="5">
        <v>2</v>
      </c>
      <c r="L95" s="5">
        <v>15</v>
      </c>
    </row>
    <row r="96" spans="2:13" x14ac:dyDescent="0.2">
      <c r="B96" s="1" t="s">
        <v>696</v>
      </c>
      <c r="C96" s="32" t="s">
        <v>52</v>
      </c>
      <c r="D96" s="5">
        <v>11</v>
      </c>
      <c r="E96" s="5">
        <v>2</v>
      </c>
      <c r="F96" s="5">
        <v>1</v>
      </c>
      <c r="G96" s="5">
        <v>2</v>
      </c>
      <c r="H96" s="5">
        <v>3</v>
      </c>
      <c r="I96" s="19" t="s">
        <v>52</v>
      </c>
      <c r="J96" s="5">
        <v>2</v>
      </c>
      <c r="K96" s="5">
        <v>2</v>
      </c>
      <c r="L96" s="5">
        <v>16</v>
      </c>
    </row>
    <row r="97" spans="2:12" x14ac:dyDescent="0.2">
      <c r="B97" s="1" t="s">
        <v>697</v>
      </c>
      <c r="C97" s="28">
        <v>1</v>
      </c>
      <c r="D97" s="5">
        <v>5</v>
      </c>
      <c r="E97" s="5">
        <v>1</v>
      </c>
      <c r="F97" s="19" t="s">
        <v>52</v>
      </c>
      <c r="G97" s="19" t="s">
        <v>52</v>
      </c>
      <c r="H97" s="19" t="s">
        <v>52</v>
      </c>
      <c r="I97" s="5">
        <v>3</v>
      </c>
      <c r="J97" s="5">
        <v>2</v>
      </c>
      <c r="K97" s="5">
        <v>3</v>
      </c>
      <c r="L97" s="5">
        <v>9</v>
      </c>
    </row>
    <row r="98" spans="2:12" x14ac:dyDescent="0.2">
      <c r="C98" s="28"/>
      <c r="L98" s="5"/>
    </row>
    <row r="99" spans="2:12" x14ac:dyDescent="0.2">
      <c r="B99" s="1" t="s">
        <v>698</v>
      </c>
      <c r="C99" s="32" t="s">
        <v>52</v>
      </c>
      <c r="D99" s="5">
        <v>9</v>
      </c>
      <c r="E99" s="19" t="s">
        <v>52</v>
      </c>
      <c r="F99" s="19" t="s">
        <v>52</v>
      </c>
      <c r="G99" s="5">
        <v>2</v>
      </c>
      <c r="H99" s="5">
        <v>4</v>
      </c>
      <c r="I99" s="5">
        <v>1</v>
      </c>
      <c r="J99" s="5">
        <v>3</v>
      </c>
      <c r="K99" s="5">
        <v>2</v>
      </c>
      <c r="L99" s="5">
        <v>12</v>
      </c>
    </row>
    <row r="100" spans="2:12" x14ac:dyDescent="0.2">
      <c r="B100" s="1" t="s">
        <v>699</v>
      </c>
      <c r="C100" s="28">
        <v>1</v>
      </c>
      <c r="D100" s="5">
        <v>18</v>
      </c>
      <c r="E100" s="5">
        <v>7</v>
      </c>
      <c r="F100" s="5">
        <v>1</v>
      </c>
      <c r="G100" s="5">
        <v>5</v>
      </c>
      <c r="H100" s="5">
        <v>1</v>
      </c>
      <c r="I100" s="5">
        <v>13</v>
      </c>
      <c r="J100" s="5">
        <v>5</v>
      </c>
      <c r="K100" s="5">
        <v>5</v>
      </c>
      <c r="L100" s="5">
        <v>17</v>
      </c>
    </row>
    <row r="101" spans="2:12" x14ac:dyDescent="0.2">
      <c r="B101" s="1" t="s">
        <v>700</v>
      </c>
      <c r="C101" s="32" t="s">
        <v>52</v>
      </c>
      <c r="D101" s="5">
        <v>9</v>
      </c>
      <c r="E101" s="5">
        <v>1</v>
      </c>
      <c r="F101" s="19" t="s">
        <v>52</v>
      </c>
      <c r="G101" s="5">
        <v>1</v>
      </c>
      <c r="H101" s="5">
        <v>2</v>
      </c>
      <c r="I101" s="5">
        <v>9</v>
      </c>
      <c r="J101" s="5">
        <v>4</v>
      </c>
      <c r="K101" s="5">
        <v>3</v>
      </c>
      <c r="L101" s="5">
        <v>12</v>
      </c>
    </row>
    <row r="102" spans="2:12" x14ac:dyDescent="0.2">
      <c r="B102" s="1" t="s">
        <v>701</v>
      </c>
      <c r="C102" s="32" t="s">
        <v>52</v>
      </c>
      <c r="D102" s="5">
        <v>9</v>
      </c>
      <c r="E102" s="5">
        <v>1</v>
      </c>
      <c r="F102" s="19" t="s">
        <v>52</v>
      </c>
      <c r="G102" s="5">
        <v>3</v>
      </c>
      <c r="H102" s="5">
        <v>3</v>
      </c>
      <c r="I102" s="5">
        <v>2</v>
      </c>
      <c r="J102" s="19" t="s">
        <v>52</v>
      </c>
      <c r="K102" s="19" t="s">
        <v>52</v>
      </c>
      <c r="L102" s="5">
        <v>13</v>
      </c>
    </row>
    <row r="103" spans="2:12" x14ac:dyDescent="0.2">
      <c r="B103" s="1" t="s">
        <v>702</v>
      </c>
      <c r="C103" s="32" t="s">
        <v>52</v>
      </c>
      <c r="D103" s="5">
        <v>10</v>
      </c>
      <c r="E103" s="5">
        <v>2</v>
      </c>
      <c r="F103" s="19" t="s">
        <v>52</v>
      </c>
      <c r="G103" s="5">
        <v>3</v>
      </c>
      <c r="H103" s="19" t="s">
        <v>52</v>
      </c>
      <c r="I103" s="5">
        <v>8</v>
      </c>
      <c r="J103" s="5">
        <v>10</v>
      </c>
      <c r="K103" s="5">
        <v>6</v>
      </c>
      <c r="L103" s="5">
        <v>22</v>
      </c>
    </row>
    <row r="104" spans="2:12" x14ac:dyDescent="0.2">
      <c r="B104" s="1" t="s">
        <v>703</v>
      </c>
      <c r="C104" s="32" t="s">
        <v>52</v>
      </c>
      <c r="D104" s="5">
        <v>17</v>
      </c>
      <c r="E104" s="5">
        <v>2</v>
      </c>
      <c r="F104" s="5">
        <v>2</v>
      </c>
      <c r="G104" s="5">
        <v>9</v>
      </c>
      <c r="H104" s="5">
        <v>1</v>
      </c>
      <c r="I104" s="5">
        <v>12</v>
      </c>
      <c r="J104" s="5">
        <v>23</v>
      </c>
      <c r="K104" s="5">
        <v>8</v>
      </c>
      <c r="L104" s="5">
        <v>35</v>
      </c>
    </row>
    <row r="105" spans="2:12" x14ac:dyDescent="0.2">
      <c r="C105" s="28"/>
      <c r="L105" s="5"/>
    </row>
    <row r="106" spans="2:12" x14ac:dyDescent="0.2">
      <c r="B106" s="1" t="s">
        <v>704</v>
      </c>
      <c r="C106" s="28">
        <v>1</v>
      </c>
      <c r="D106" s="5">
        <v>12</v>
      </c>
      <c r="E106" s="5">
        <v>6</v>
      </c>
      <c r="F106" s="5">
        <v>3</v>
      </c>
      <c r="G106" s="5">
        <v>1</v>
      </c>
      <c r="H106" s="5">
        <v>4</v>
      </c>
      <c r="I106" s="5">
        <v>6</v>
      </c>
      <c r="J106" s="5">
        <v>13</v>
      </c>
      <c r="K106" s="5">
        <v>4</v>
      </c>
      <c r="L106" s="5">
        <v>19</v>
      </c>
    </row>
    <row r="107" spans="2:12" x14ac:dyDescent="0.2">
      <c r="B107" s="1" t="s">
        <v>705</v>
      </c>
      <c r="C107" s="28">
        <v>1</v>
      </c>
      <c r="D107" s="5">
        <v>14</v>
      </c>
      <c r="E107" s="5">
        <v>7</v>
      </c>
      <c r="F107" s="19" t="s">
        <v>52</v>
      </c>
      <c r="G107" s="5">
        <v>2</v>
      </c>
      <c r="H107" s="5">
        <v>2</v>
      </c>
      <c r="I107" s="5">
        <v>1</v>
      </c>
      <c r="J107" s="5">
        <v>5</v>
      </c>
      <c r="K107" s="5">
        <v>3</v>
      </c>
      <c r="L107" s="5">
        <v>18</v>
      </c>
    </row>
    <row r="108" spans="2:12" x14ac:dyDescent="0.2">
      <c r="B108" s="1" t="s">
        <v>706</v>
      </c>
      <c r="C108" s="32" t="s">
        <v>52</v>
      </c>
      <c r="D108" s="5">
        <v>6</v>
      </c>
      <c r="E108" s="5">
        <v>4</v>
      </c>
      <c r="F108" s="5">
        <v>1</v>
      </c>
      <c r="G108" s="5">
        <v>1</v>
      </c>
      <c r="H108" s="5">
        <v>1</v>
      </c>
      <c r="I108" s="5">
        <v>2</v>
      </c>
      <c r="J108" s="5">
        <v>3</v>
      </c>
      <c r="K108" s="5">
        <v>1</v>
      </c>
      <c r="L108" s="5">
        <v>11</v>
      </c>
    </row>
    <row r="109" spans="2:12" x14ac:dyDescent="0.2">
      <c r="B109" s="1" t="s">
        <v>707</v>
      </c>
      <c r="C109" s="28">
        <v>1</v>
      </c>
      <c r="D109" s="5">
        <v>7</v>
      </c>
      <c r="E109" s="5">
        <v>1</v>
      </c>
      <c r="F109" s="19" t="s">
        <v>52</v>
      </c>
      <c r="G109" s="5">
        <v>1</v>
      </c>
      <c r="H109" s="5">
        <v>2</v>
      </c>
      <c r="I109" s="5">
        <v>4</v>
      </c>
      <c r="J109" s="5">
        <v>2</v>
      </c>
      <c r="K109" s="5">
        <v>3</v>
      </c>
      <c r="L109" s="5">
        <v>5</v>
      </c>
    </row>
    <row r="110" spans="2:12" x14ac:dyDescent="0.2">
      <c r="B110" s="1" t="s">
        <v>708</v>
      </c>
      <c r="C110" s="32" t="s">
        <v>52</v>
      </c>
      <c r="D110" s="19" t="s">
        <v>52</v>
      </c>
      <c r="E110" s="5">
        <v>1</v>
      </c>
      <c r="F110" s="19" t="s">
        <v>52</v>
      </c>
      <c r="G110" s="19" t="s">
        <v>52</v>
      </c>
      <c r="H110" s="19" t="s">
        <v>52</v>
      </c>
      <c r="I110" s="19" t="s">
        <v>52</v>
      </c>
      <c r="J110" s="5">
        <v>1</v>
      </c>
      <c r="K110" s="19" t="s">
        <v>52</v>
      </c>
      <c r="L110" s="5">
        <v>2</v>
      </c>
    </row>
    <row r="111" spans="2:12" x14ac:dyDescent="0.2">
      <c r="C111" s="28"/>
      <c r="L111" s="5"/>
    </row>
    <row r="112" spans="2:12" x14ac:dyDescent="0.2">
      <c r="B112" s="1" t="s">
        <v>709</v>
      </c>
      <c r="C112" s="32" t="s">
        <v>52</v>
      </c>
      <c r="D112" s="5">
        <v>22</v>
      </c>
      <c r="E112" s="5">
        <v>1</v>
      </c>
      <c r="F112" s="5">
        <v>3</v>
      </c>
      <c r="G112" s="5">
        <v>6</v>
      </c>
      <c r="H112" s="5">
        <v>1</v>
      </c>
      <c r="I112" s="5">
        <v>6</v>
      </c>
      <c r="J112" s="5">
        <v>5</v>
      </c>
      <c r="K112" s="5">
        <v>5</v>
      </c>
      <c r="L112" s="5">
        <v>16</v>
      </c>
    </row>
    <row r="113" spans="2:12" x14ac:dyDescent="0.2">
      <c r="B113" s="1" t="s">
        <v>710</v>
      </c>
      <c r="C113" s="28">
        <v>1</v>
      </c>
      <c r="D113" s="5">
        <v>7</v>
      </c>
      <c r="E113" s="5">
        <v>2</v>
      </c>
      <c r="F113" s="19" t="s">
        <v>52</v>
      </c>
      <c r="G113" s="5">
        <v>1</v>
      </c>
      <c r="H113" s="5">
        <v>1</v>
      </c>
      <c r="I113" s="5">
        <v>9</v>
      </c>
      <c r="J113" s="5">
        <v>3</v>
      </c>
      <c r="K113" s="5">
        <v>2</v>
      </c>
      <c r="L113" s="5">
        <v>9</v>
      </c>
    </row>
    <row r="114" spans="2:12" x14ac:dyDescent="0.2">
      <c r="B114" s="1" t="s">
        <v>711</v>
      </c>
      <c r="C114" s="32" t="s">
        <v>52</v>
      </c>
      <c r="D114" s="5">
        <v>9</v>
      </c>
      <c r="E114" s="5">
        <v>2</v>
      </c>
      <c r="F114" s="19" t="s">
        <v>52</v>
      </c>
      <c r="G114" s="5">
        <v>1</v>
      </c>
      <c r="H114" s="5">
        <v>3</v>
      </c>
      <c r="I114" s="5">
        <v>1</v>
      </c>
      <c r="J114" s="5">
        <v>4</v>
      </c>
      <c r="K114" s="5">
        <v>7</v>
      </c>
      <c r="L114" s="5">
        <v>11</v>
      </c>
    </row>
    <row r="115" spans="2:12" x14ac:dyDescent="0.2">
      <c r="B115" s="1" t="s">
        <v>712</v>
      </c>
      <c r="C115" s="32" t="s">
        <v>52</v>
      </c>
      <c r="D115" s="5">
        <v>10</v>
      </c>
      <c r="E115" s="19" t="s">
        <v>52</v>
      </c>
      <c r="F115" s="19" t="s">
        <v>52</v>
      </c>
      <c r="G115" s="5">
        <v>2</v>
      </c>
      <c r="H115" s="5">
        <v>2</v>
      </c>
      <c r="I115" s="5">
        <v>1</v>
      </c>
      <c r="J115" s="5">
        <v>5</v>
      </c>
      <c r="K115" s="5">
        <v>1</v>
      </c>
      <c r="L115" s="5">
        <v>15</v>
      </c>
    </row>
    <row r="116" spans="2:12" x14ac:dyDescent="0.2">
      <c r="B116" s="1" t="s">
        <v>713</v>
      </c>
      <c r="C116" s="32" t="s">
        <v>52</v>
      </c>
      <c r="D116" s="5">
        <v>4</v>
      </c>
      <c r="E116" s="5">
        <v>1</v>
      </c>
      <c r="F116" s="5">
        <v>2</v>
      </c>
      <c r="G116" s="5">
        <v>1</v>
      </c>
      <c r="H116" s="5">
        <v>2</v>
      </c>
      <c r="I116" s="5">
        <v>7</v>
      </c>
      <c r="J116" s="5">
        <v>5</v>
      </c>
      <c r="K116" s="5">
        <v>3</v>
      </c>
      <c r="L116" s="5">
        <v>11</v>
      </c>
    </row>
    <row r="117" spans="2:12" x14ac:dyDescent="0.2">
      <c r="C117" s="28"/>
      <c r="L117" s="5"/>
    </row>
    <row r="118" spans="2:12" x14ac:dyDescent="0.2">
      <c r="B118" s="1" t="s">
        <v>714</v>
      </c>
      <c r="C118" s="32" t="s">
        <v>52</v>
      </c>
      <c r="D118" s="5">
        <v>10</v>
      </c>
      <c r="E118" s="5">
        <v>2</v>
      </c>
      <c r="F118" s="19" t="s">
        <v>52</v>
      </c>
      <c r="G118" s="19" t="s">
        <v>52</v>
      </c>
      <c r="H118" s="19" t="s">
        <v>52</v>
      </c>
      <c r="I118" s="5">
        <v>4</v>
      </c>
      <c r="J118" s="5">
        <v>6</v>
      </c>
      <c r="K118" s="5">
        <v>2</v>
      </c>
      <c r="L118" s="5">
        <v>23</v>
      </c>
    </row>
    <row r="119" spans="2:12" x14ac:dyDescent="0.2">
      <c r="B119" s="1" t="s">
        <v>715</v>
      </c>
      <c r="C119" s="32" t="s">
        <v>52</v>
      </c>
      <c r="D119" s="5">
        <v>7</v>
      </c>
      <c r="E119" s="5">
        <v>1</v>
      </c>
      <c r="F119" s="19" t="s">
        <v>52</v>
      </c>
      <c r="G119" s="5">
        <v>1</v>
      </c>
      <c r="H119" s="19" t="s">
        <v>52</v>
      </c>
      <c r="I119" s="5">
        <v>2</v>
      </c>
      <c r="J119" s="5">
        <v>9</v>
      </c>
      <c r="K119" s="5">
        <v>1</v>
      </c>
      <c r="L119" s="5">
        <v>8</v>
      </c>
    </row>
    <row r="120" spans="2:12" x14ac:dyDescent="0.2">
      <c r="B120" s="1" t="s">
        <v>716</v>
      </c>
      <c r="C120" s="28">
        <v>1</v>
      </c>
      <c r="D120" s="5">
        <v>6</v>
      </c>
      <c r="E120" s="5">
        <v>1</v>
      </c>
      <c r="F120" s="5">
        <v>1</v>
      </c>
      <c r="G120" s="5">
        <v>3</v>
      </c>
      <c r="H120" s="5">
        <v>1</v>
      </c>
      <c r="I120" s="5">
        <v>5</v>
      </c>
      <c r="J120" s="5">
        <v>4</v>
      </c>
      <c r="K120" s="5">
        <v>1</v>
      </c>
      <c r="L120" s="5">
        <v>10</v>
      </c>
    </row>
    <row r="121" spans="2:12" x14ac:dyDescent="0.2">
      <c r="B121" s="1" t="s">
        <v>717</v>
      </c>
      <c r="C121" s="32" t="s">
        <v>52</v>
      </c>
      <c r="D121" s="5">
        <v>4</v>
      </c>
      <c r="E121" s="5">
        <v>2</v>
      </c>
      <c r="F121" s="5">
        <v>2</v>
      </c>
      <c r="G121" s="5">
        <v>2</v>
      </c>
      <c r="H121" s="5">
        <v>1</v>
      </c>
      <c r="I121" s="5">
        <v>12</v>
      </c>
      <c r="J121" s="5">
        <v>4</v>
      </c>
      <c r="K121" s="5">
        <v>2</v>
      </c>
      <c r="L121" s="5">
        <v>4</v>
      </c>
    </row>
    <row r="122" spans="2:12" x14ac:dyDescent="0.2">
      <c r="B122" s="1" t="s">
        <v>718</v>
      </c>
      <c r="C122" s="28">
        <v>1</v>
      </c>
      <c r="D122" s="5">
        <v>5</v>
      </c>
      <c r="E122" s="19" t="s">
        <v>52</v>
      </c>
      <c r="F122" s="5">
        <v>1</v>
      </c>
      <c r="G122" s="19" t="s">
        <v>52</v>
      </c>
      <c r="H122" s="19" t="s">
        <v>52</v>
      </c>
      <c r="I122" s="5">
        <v>1</v>
      </c>
      <c r="J122" s="5">
        <v>3</v>
      </c>
      <c r="K122" s="19" t="s">
        <v>52</v>
      </c>
      <c r="L122" s="5">
        <v>4</v>
      </c>
    </row>
    <row r="123" spans="2:12" x14ac:dyDescent="0.2">
      <c r="B123" s="1" t="s">
        <v>719</v>
      </c>
      <c r="C123" s="32" t="s">
        <v>52</v>
      </c>
      <c r="D123" s="5">
        <v>4</v>
      </c>
      <c r="E123" s="19" t="s">
        <v>52</v>
      </c>
      <c r="F123" s="5">
        <v>1</v>
      </c>
      <c r="G123" s="19" t="s">
        <v>52</v>
      </c>
      <c r="H123" s="19" t="s">
        <v>52</v>
      </c>
      <c r="I123" s="19" t="s">
        <v>52</v>
      </c>
      <c r="J123" s="5">
        <v>1</v>
      </c>
      <c r="K123" s="5">
        <v>1</v>
      </c>
      <c r="L123" s="5">
        <v>1</v>
      </c>
    </row>
    <row r="124" spans="2:12" x14ac:dyDescent="0.2">
      <c r="B124" s="1" t="s">
        <v>720</v>
      </c>
      <c r="C124" s="32" t="s">
        <v>52</v>
      </c>
      <c r="D124" s="5">
        <v>1</v>
      </c>
      <c r="E124" s="5">
        <v>2</v>
      </c>
      <c r="F124" s="19" t="s">
        <v>52</v>
      </c>
      <c r="G124" s="5">
        <v>1</v>
      </c>
      <c r="H124" s="19" t="s">
        <v>52</v>
      </c>
      <c r="I124" s="5">
        <v>4</v>
      </c>
      <c r="J124" s="5">
        <v>1</v>
      </c>
      <c r="K124" s="19" t="s">
        <v>52</v>
      </c>
      <c r="L124" s="5">
        <v>6</v>
      </c>
    </row>
    <row r="125" spans="2:12" x14ac:dyDescent="0.2">
      <c r="B125" s="1" t="s">
        <v>721</v>
      </c>
      <c r="C125" s="32" t="s">
        <v>52</v>
      </c>
      <c r="D125" s="5">
        <v>11</v>
      </c>
      <c r="E125" s="5">
        <v>4</v>
      </c>
      <c r="F125" s="19" t="s">
        <v>52</v>
      </c>
      <c r="G125" s="5">
        <v>1</v>
      </c>
      <c r="H125" s="5">
        <v>1</v>
      </c>
      <c r="I125" s="5">
        <v>3</v>
      </c>
      <c r="J125" s="5">
        <v>2</v>
      </c>
      <c r="K125" s="5">
        <v>3</v>
      </c>
      <c r="L125" s="5">
        <v>4</v>
      </c>
    </row>
    <row r="126" spans="2:12" x14ac:dyDescent="0.2">
      <c r="B126" s="1" t="s">
        <v>722</v>
      </c>
      <c r="C126" s="32" t="s">
        <v>52</v>
      </c>
      <c r="D126" s="5">
        <v>7</v>
      </c>
      <c r="E126" s="19" t="s">
        <v>52</v>
      </c>
      <c r="F126" s="5">
        <v>2</v>
      </c>
      <c r="G126" s="19" t="s">
        <v>52</v>
      </c>
      <c r="H126" s="5">
        <v>2</v>
      </c>
      <c r="I126" s="5">
        <v>4</v>
      </c>
      <c r="J126" s="5">
        <v>3</v>
      </c>
      <c r="K126" s="5">
        <v>2</v>
      </c>
      <c r="L126" s="5">
        <v>6</v>
      </c>
    </row>
    <row r="127" spans="2:12" x14ac:dyDescent="0.2">
      <c r="B127" s="1" t="s">
        <v>723</v>
      </c>
      <c r="C127" s="32" t="s">
        <v>52</v>
      </c>
      <c r="D127" s="5">
        <v>6</v>
      </c>
      <c r="E127" s="5">
        <v>2</v>
      </c>
      <c r="F127" s="19" t="s">
        <v>52</v>
      </c>
      <c r="G127" s="5">
        <v>2</v>
      </c>
      <c r="H127" s="19" t="s">
        <v>52</v>
      </c>
      <c r="I127" s="5">
        <v>2</v>
      </c>
      <c r="J127" s="5">
        <v>4</v>
      </c>
      <c r="K127" s="5">
        <v>3</v>
      </c>
      <c r="L127" s="5">
        <v>24</v>
      </c>
    </row>
    <row r="128" spans="2:12" x14ac:dyDescent="0.2">
      <c r="C128" s="28"/>
      <c r="L128" s="5"/>
    </row>
    <row r="129" spans="2:12" x14ac:dyDescent="0.2">
      <c r="B129" s="1" t="s">
        <v>724</v>
      </c>
      <c r="C129" s="28">
        <v>2</v>
      </c>
      <c r="D129" s="5">
        <v>15</v>
      </c>
      <c r="E129" s="5">
        <v>3</v>
      </c>
      <c r="F129" s="19" t="s">
        <v>52</v>
      </c>
      <c r="G129" s="5">
        <v>4</v>
      </c>
      <c r="H129" s="5">
        <v>4</v>
      </c>
      <c r="I129" s="5">
        <v>15</v>
      </c>
      <c r="J129" s="5">
        <v>7</v>
      </c>
      <c r="K129" s="5">
        <v>3</v>
      </c>
      <c r="L129" s="5">
        <v>25</v>
      </c>
    </row>
    <row r="130" spans="2:12" x14ac:dyDescent="0.2">
      <c r="B130" s="1" t="s">
        <v>725</v>
      </c>
      <c r="C130" s="32" t="s">
        <v>52</v>
      </c>
      <c r="D130" s="5">
        <v>6</v>
      </c>
      <c r="E130" s="5">
        <v>1</v>
      </c>
      <c r="F130" s="19" t="s">
        <v>52</v>
      </c>
      <c r="G130" s="5">
        <v>1</v>
      </c>
      <c r="H130" s="19" t="s">
        <v>52</v>
      </c>
      <c r="I130" s="19" t="s">
        <v>52</v>
      </c>
      <c r="J130" s="5">
        <v>1</v>
      </c>
      <c r="K130" s="5">
        <v>3</v>
      </c>
      <c r="L130" s="5">
        <v>5</v>
      </c>
    </row>
    <row r="131" spans="2:12" x14ac:dyDescent="0.2">
      <c r="B131" s="1" t="s">
        <v>726</v>
      </c>
      <c r="C131" s="32" t="s">
        <v>52</v>
      </c>
      <c r="D131" s="5">
        <v>5</v>
      </c>
      <c r="E131" s="19" t="s">
        <v>52</v>
      </c>
      <c r="F131" s="5">
        <v>1</v>
      </c>
      <c r="G131" s="19" t="s">
        <v>52</v>
      </c>
      <c r="H131" s="5">
        <v>2</v>
      </c>
      <c r="I131" s="5">
        <v>1</v>
      </c>
      <c r="J131" s="19" t="s">
        <v>52</v>
      </c>
      <c r="K131" s="5">
        <v>1</v>
      </c>
      <c r="L131" s="5">
        <v>5</v>
      </c>
    </row>
    <row r="132" spans="2:12" x14ac:dyDescent="0.2">
      <c r="B132" s="1" t="s">
        <v>727</v>
      </c>
      <c r="C132" s="32" t="s">
        <v>52</v>
      </c>
      <c r="D132" s="5">
        <v>4</v>
      </c>
      <c r="E132" s="5">
        <v>5</v>
      </c>
      <c r="F132" s="5">
        <v>2</v>
      </c>
      <c r="G132" s="5">
        <v>2</v>
      </c>
      <c r="H132" s="5">
        <v>1</v>
      </c>
      <c r="I132" s="5">
        <v>6</v>
      </c>
      <c r="J132" s="5">
        <v>4</v>
      </c>
      <c r="K132" s="5">
        <v>6</v>
      </c>
      <c r="L132" s="5">
        <v>16</v>
      </c>
    </row>
    <row r="133" spans="2:12" x14ac:dyDescent="0.2">
      <c r="B133" s="1" t="s">
        <v>728</v>
      </c>
      <c r="C133" s="28">
        <v>1</v>
      </c>
      <c r="D133" s="5">
        <v>3</v>
      </c>
      <c r="E133" s="19" t="s">
        <v>52</v>
      </c>
      <c r="F133" s="19" t="s">
        <v>52</v>
      </c>
      <c r="G133" s="5">
        <v>1</v>
      </c>
      <c r="H133" s="19" t="s">
        <v>52</v>
      </c>
      <c r="I133" s="5">
        <v>2</v>
      </c>
      <c r="J133" s="5">
        <v>2</v>
      </c>
      <c r="K133" s="5">
        <v>3</v>
      </c>
      <c r="L133" s="5">
        <v>7</v>
      </c>
    </row>
    <row r="134" spans="2:12" x14ac:dyDescent="0.2">
      <c r="B134" s="1" t="s">
        <v>729</v>
      </c>
      <c r="C134" s="32" t="s">
        <v>52</v>
      </c>
      <c r="D134" s="5">
        <v>9</v>
      </c>
      <c r="E134" s="19" t="s">
        <v>52</v>
      </c>
      <c r="F134" s="5">
        <v>2</v>
      </c>
      <c r="G134" s="5">
        <v>1</v>
      </c>
      <c r="H134" s="5">
        <v>1</v>
      </c>
      <c r="I134" s="5">
        <v>1</v>
      </c>
      <c r="J134" s="5">
        <v>3</v>
      </c>
      <c r="K134" s="5">
        <v>2</v>
      </c>
      <c r="L134" s="5">
        <v>13</v>
      </c>
    </row>
    <row r="135" spans="2:12" x14ac:dyDescent="0.2">
      <c r="B135" s="1" t="s">
        <v>730</v>
      </c>
      <c r="C135" s="28">
        <v>1</v>
      </c>
      <c r="D135" s="5">
        <v>17</v>
      </c>
      <c r="E135" s="19" t="s">
        <v>52</v>
      </c>
      <c r="F135" s="5">
        <v>1</v>
      </c>
      <c r="G135" s="5">
        <v>3</v>
      </c>
      <c r="H135" s="5">
        <v>3</v>
      </c>
      <c r="I135" s="19" t="s">
        <v>52</v>
      </c>
      <c r="J135" s="5">
        <v>10</v>
      </c>
      <c r="K135" s="19" t="s">
        <v>52</v>
      </c>
      <c r="L135" s="5">
        <v>17</v>
      </c>
    </row>
    <row r="136" spans="2:12" x14ac:dyDescent="0.2">
      <c r="C136" s="28"/>
      <c r="L136" s="5"/>
    </row>
    <row r="137" spans="2:12" x14ac:dyDescent="0.2">
      <c r="B137" s="1" t="s">
        <v>731</v>
      </c>
      <c r="C137" s="28">
        <v>1</v>
      </c>
      <c r="D137" s="5">
        <v>28</v>
      </c>
      <c r="E137" s="5">
        <v>2</v>
      </c>
      <c r="F137" s="5">
        <v>2</v>
      </c>
      <c r="G137" s="5">
        <v>3</v>
      </c>
      <c r="H137" s="5">
        <v>2</v>
      </c>
      <c r="I137" s="5">
        <v>5</v>
      </c>
      <c r="J137" s="5">
        <v>9</v>
      </c>
      <c r="K137" s="5">
        <v>6</v>
      </c>
      <c r="L137" s="5">
        <v>22</v>
      </c>
    </row>
    <row r="138" spans="2:12" x14ac:dyDescent="0.2">
      <c r="B138" s="1" t="s">
        <v>732</v>
      </c>
      <c r="C138" s="32" t="s">
        <v>52</v>
      </c>
      <c r="D138" s="5">
        <v>6</v>
      </c>
      <c r="E138" s="19" t="s">
        <v>52</v>
      </c>
      <c r="F138" s="5">
        <v>1</v>
      </c>
      <c r="G138" s="19" t="s">
        <v>52</v>
      </c>
      <c r="H138" s="19" t="s">
        <v>52</v>
      </c>
      <c r="I138" s="19" t="s">
        <v>52</v>
      </c>
      <c r="J138" s="5">
        <v>4</v>
      </c>
      <c r="K138" s="5">
        <v>1</v>
      </c>
      <c r="L138" s="5">
        <v>9</v>
      </c>
    </row>
    <row r="139" spans="2:12" x14ac:dyDescent="0.2">
      <c r="B139" s="1" t="s">
        <v>733</v>
      </c>
      <c r="C139" s="28">
        <v>1</v>
      </c>
      <c r="D139" s="5">
        <v>4</v>
      </c>
      <c r="E139" s="5">
        <v>4</v>
      </c>
      <c r="F139" s="19" t="s">
        <v>52</v>
      </c>
      <c r="G139" s="5">
        <v>2</v>
      </c>
      <c r="H139" s="5">
        <v>1</v>
      </c>
      <c r="I139" s="19" t="s">
        <v>52</v>
      </c>
      <c r="J139" s="5">
        <v>3</v>
      </c>
      <c r="K139" s="5">
        <v>3</v>
      </c>
      <c r="L139" s="5">
        <v>12</v>
      </c>
    </row>
    <row r="140" spans="2:12" x14ac:dyDescent="0.2">
      <c r="B140" s="1" t="s">
        <v>734</v>
      </c>
      <c r="C140" s="32" t="s">
        <v>52</v>
      </c>
      <c r="D140" s="5">
        <v>3</v>
      </c>
      <c r="E140" s="5">
        <v>2</v>
      </c>
      <c r="F140" s="19" t="s">
        <v>52</v>
      </c>
      <c r="G140" s="5">
        <v>1</v>
      </c>
      <c r="H140" s="5">
        <v>1</v>
      </c>
      <c r="I140" s="5">
        <v>5</v>
      </c>
      <c r="J140" s="5">
        <v>2</v>
      </c>
      <c r="K140" s="5">
        <v>1</v>
      </c>
      <c r="L140" s="5">
        <v>5</v>
      </c>
    </row>
    <row r="141" spans="2:12" x14ac:dyDescent="0.2">
      <c r="B141" s="1" t="s">
        <v>735</v>
      </c>
      <c r="C141" s="32" t="s">
        <v>52</v>
      </c>
      <c r="D141" s="19" t="s">
        <v>52</v>
      </c>
      <c r="E141" s="19" t="s">
        <v>52</v>
      </c>
      <c r="F141" s="19" t="s">
        <v>52</v>
      </c>
      <c r="G141" s="5">
        <v>1</v>
      </c>
      <c r="H141" s="19" t="s">
        <v>52</v>
      </c>
      <c r="I141" s="5">
        <v>2</v>
      </c>
      <c r="J141" s="5">
        <v>1</v>
      </c>
      <c r="K141" s="19" t="s">
        <v>52</v>
      </c>
      <c r="L141" s="5">
        <v>4</v>
      </c>
    </row>
    <row r="142" spans="2:12" x14ac:dyDescent="0.2">
      <c r="B142" s="1" t="s">
        <v>736</v>
      </c>
      <c r="C142" s="32" t="s">
        <v>52</v>
      </c>
      <c r="D142" s="5">
        <v>4</v>
      </c>
      <c r="E142" s="19" t="s">
        <v>52</v>
      </c>
      <c r="F142" s="5">
        <v>1</v>
      </c>
      <c r="G142" s="5">
        <v>2</v>
      </c>
      <c r="H142" s="5">
        <v>1</v>
      </c>
      <c r="I142" s="5">
        <v>9</v>
      </c>
      <c r="J142" s="5">
        <v>4</v>
      </c>
      <c r="K142" s="5">
        <v>1</v>
      </c>
      <c r="L142" s="5">
        <v>6</v>
      </c>
    </row>
    <row r="143" spans="2:12" x14ac:dyDescent="0.2">
      <c r="B143" s="1" t="s">
        <v>737</v>
      </c>
      <c r="C143" s="32" t="s">
        <v>52</v>
      </c>
      <c r="D143" s="5">
        <v>1</v>
      </c>
      <c r="E143" s="19" t="s">
        <v>52</v>
      </c>
      <c r="F143" s="19" t="s">
        <v>52</v>
      </c>
      <c r="G143" s="19" t="s">
        <v>52</v>
      </c>
      <c r="H143" s="19" t="s">
        <v>52</v>
      </c>
      <c r="I143" s="19" t="s">
        <v>52</v>
      </c>
      <c r="J143" s="19" t="s">
        <v>52</v>
      </c>
      <c r="K143" s="19" t="s">
        <v>52</v>
      </c>
      <c r="L143" s="19" t="s">
        <v>52</v>
      </c>
    </row>
    <row r="144" spans="2:12" ht="18" thickBot="1" x14ac:dyDescent="0.25">
      <c r="B144" s="51"/>
      <c r="C144" s="33"/>
      <c r="D144" s="6"/>
      <c r="E144" s="51"/>
      <c r="F144" s="51"/>
      <c r="G144" s="51"/>
      <c r="H144" s="51"/>
      <c r="I144" s="51"/>
      <c r="J144" s="6"/>
      <c r="K144" s="6"/>
      <c r="L144" s="51"/>
    </row>
    <row r="145" spans="1:12" x14ac:dyDescent="0.2">
      <c r="C145" s="1" t="s">
        <v>738</v>
      </c>
      <c r="F145" s="21"/>
      <c r="G145" s="21"/>
      <c r="H145" s="21"/>
      <c r="I145" s="21"/>
      <c r="L145" s="21"/>
    </row>
    <row r="146" spans="1:12" x14ac:dyDescent="0.2">
      <c r="A146" s="1"/>
      <c r="B146" s="21"/>
      <c r="C146" s="21"/>
      <c r="D146" s="21"/>
      <c r="E146" s="21"/>
      <c r="F146" s="21"/>
      <c r="G146" s="21"/>
      <c r="H146" s="21"/>
      <c r="I146" s="21"/>
      <c r="L146" s="21"/>
    </row>
  </sheetData>
  <phoneticPr fontId="2"/>
  <pageMargins left="0.23000000000000004" right="0.23000000000000004" top="0.45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14.625" style="2" customWidth="1"/>
    <col min="4" max="5" width="13.375" style="2"/>
    <col min="6" max="8" width="14.625" style="2" customWidth="1"/>
    <col min="9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59" width="14.625" style="2" customWidth="1"/>
    <col min="260" max="261" width="13.375" style="2"/>
    <col min="262" max="264" width="14.625" style="2" customWidth="1"/>
    <col min="265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5" width="14.625" style="2" customWidth="1"/>
    <col min="516" max="517" width="13.375" style="2"/>
    <col min="518" max="520" width="14.625" style="2" customWidth="1"/>
    <col min="521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1" width="14.625" style="2" customWidth="1"/>
    <col min="772" max="773" width="13.375" style="2"/>
    <col min="774" max="776" width="14.625" style="2" customWidth="1"/>
    <col min="777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7" width="14.625" style="2" customWidth="1"/>
    <col min="1028" max="1029" width="13.375" style="2"/>
    <col min="1030" max="1032" width="14.625" style="2" customWidth="1"/>
    <col min="1033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3" width="14.625" style="2" customWidth="1"/>
    <col min="1284" max="1285" width="13.375" style="2"/>
    <col min="1286" max="1288" width="14.625" style="2" customWidth="1"/>
    <col min="1289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39" width="14.625" style="2" customWidth="1"/>
    <col min="1540" max="1541" width="13.375" style="2"/>
    <col min="1542" max="1544" width="14.625" style="2" customWidth="1"/>
    <col min="1545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5" width="14.625" style="2" customWidth="1"/>
    <col min="1796" max="1797" width="13.375" style="2"/>
    <col min="1798" max="1800" width="14.625" style="2" customWidth="1"/>
    <col min="1801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1" width="14.625" style="2" customWidth="1"/>
    <col min="2052" max="2053" width="13.375" style="2"/>
    <col min="2054" max="2056" width="14.625" style="2" customWidth="1"/>
    <col min="2057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7" width="14.625" style="2" customWidth="1"/>
    <col min="2308" max="2309" width="13.375" style="2"/>
    <col min="2310" max="2312" width="14.625" style="2" customWidth="1"/>
    <col min="2313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3" width="14.625" style="2" customWidth="1"/>
    <col min="2564" max="2565" width="13.375" style="2"/>
    <col min="2566" max="2568" width="14.625" style="2" customWidth="1"/>
    <col min="2569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19" width="14.625" style="2" customWidth="1"/>
    <col min="2820" max="2821" width="13.375" style="2"/>
    <col min="2822" max="2824" width="14.625" style="2" customWidth="1"/>
    <col min="2825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5" width="14.625" style="2" customWidth="1"/>
    <col min="3076" max="3077" width="13.375" style="2"/>
    <col min="3078" max="3080" width="14.625" style="2" customWidth="1"/>
    <col min="3081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1" width="14.625" style="2" customWidth="1"/>
    <col min="3332" max="3333" width="13.375" style="2"/>
    <col min="3334" max="3336" width="14.625" style="2" customWidth="1"/>
    <col min="3337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7" width="14.625" style="2" customWidth="1"/>
    <col min="3588" max="3589" width="13.375" style="2"/>
    <col min="3590" max="3592" width="14.625" style="2" customWidth="1"/>
    <col min="3593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3" width="14.625" style="2" customWidth="1"/>
    <col min="3844" max="3845" width="13.375" style="2"/>
    <col min="3846" max="3848" width="14.625" style="2" customWidth="1"/>
    <col min="3849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099" width="14.625" style="2" customWidth="1"/>
    <col min="4100" max="4101" width="13.375" style="2"/>
    <col min="4102" max="4104" width="14.625" style="2" customWidth="1"/>
    <col min="4105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5" width="14.625" style="2" customWidth="1"/>
    <col min="4356" max="4357" width="13.375" style="2"/>
    <col min="4358" max="4360" width="14.625" style="2" customWidth="1"/>
    <col min="4361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1" width="14.625" style="2" customWidth="1"/>
    <col min="4612" max="4613" width="13.375" style="2"/>
    <col min="4614" max="4616" width="14.625" style="2" customWidth="1"/>
    <col min="4617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7" width="14.625" style="2" customWidth="1"/>
    <col min="4868" max="4869" width="13.375" style="2"/>
    <col min="4870" max="4872" width="14.625" style="2" customWidth="1"/>
    <col min="4873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3" width="14.625" style="2" customWidth="1"/>
    <col min="5124" max="5125" width="13.375" style="2"/>
    <col min="5126" max="5128" width="14.625" style="2" customWidth="1"/>
    <col min="5129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79" width="14.625" style="2" customWidth="1"/>
    <col min="5380" max="5381" width="13.375" style="2"/>
    <col min="5382" max="5384" width="14.625" style="2" customWidth="1"/>
    <col min="5385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5" width="14.625" style="2" customWidth="1"/>
    <col min="5636" max="5637" width="13.375" style="2"/>
    <col min="5638" max="5640" width="14.625" style="2" customWidth="1"/>
    <col min="5641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1" width="14.625" style="2" customWidth="1"/>
    <col min="5892" max="5893" width="13.375" style="2"/>
    <col min="5894" max="5896" width="14.625" style="2" customWidth="1"/>
    <col min="5897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7" width="14.625" style="2" customWidth="1"/>
    <col min="6148" max="6149" width="13.375" style="2"/>
    <col min="6150" max="6152" width="14.625" style="2" customWidth="1"/>
    <col min="6153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3" width="14.625" style="2" customWidth="1"/>
    <col min="6404" max="6405" width="13.375" style="2"/>
    <col min="6406" max="6408" width="14.625" style="2" customWidth="1"/>
    <col min="6409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59" width="14.625" style="2" customWidth="1"/>
    <col min="6660" max="6661" width="13.375" style="2"/>
    <col min="6662" max="6664" width="14.625" style="2" customWidth="1"/>
    <col min="6665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5" width="14.625" style="2" customWidth="1"/>
    <col min="6916" max="6917" width="13.375" style="2"/>
    <col min="6918" max="6920" width="14.625" style="2" customWidth="1"/>
    <col min="6921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1" width="14.625" style="2" customWidth="1"/>
    <col min="7172" max="7173" width="13.375" style="2"/>
    <col min="7174" max="7176" width="14.625" style="2" customWidth="1"/>
    <col min="7177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7" width="14.625" style="2" customWidth="1"/>
    <col min="7428" max="7429" width="13.375" style="2"/>
    <col min="7430" max="7432" width="14.625" style="2" customWidth="1"/>
    <col min="7433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3" width="14.625" style="2" customWidth="1"/>
    <col min="7684" max="7685" width="13.375" style="2"/>
    <col min="7686" max="7688" width="14.625" style="2" customWidth="1"/>
    <col min="7689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39" width="14.625" style="2" customWidth="1"/>
    <col min="7940" max="7941" width="13.375" style="2"/>
    <col min="7942" max="7944" width="14.625" style="2" customWidth="1"/>
    <col min="7945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5" width="14.625" style="2" customWidth="1"/>
    <col min="8196" max="8197" width="13.375" style="2"/>
    <col min="8198" max="8200" width="14.625" style="2" customWidth="1"/>
    <col min="8201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1" width="14.625" style="2" customWidth="1"/>
    <col min="8452" max="8453" width="13.375" style="2"/>
    <col min="8454" max="8456" width="14.625" style="2" customWidth="1"/>
    <col min="8457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7" width="14.625" style="2" customWidth="1"/>
    <col min="8708" max="8709" width="13.375" style="2"/>
    <col min="8710" max="8712" width="14.625" style="2" customWidth="1"/>
    <col min="8713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3" width="14.625" style="2" customWidth="1"/>
    <col min="8964" max="8965" width="13.375" style="2"/>
    <col min="8966" max="8968" width="14.625" style="2" customWidth="1"/>
    <col min="8969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19" width="14.625" style="2" customWidth="1"/>
    <col min="9220" max="9221" width="13.375" style="2"/>
    <col min="9222" max="9224" width="14.625" style="2" customWidth="1"/>
    <col min="9225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5" width="14.625" style="2" customWidth="1"/>
    <col min="9476" max="9477" width="13.375" style="2"/>
    <col min="9478" max="9480" width="14.625" style="2" customWidth="1"/>
    <col min="9481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1" width="14.625" style="2" customWidth="1"/>
    <col min="9732" max="9733" width="13.375" style="2"/>
    <col min="9734" max="9736" width="14.625" style="2" customWidth="1"/>
    <col min="9737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7" width="14.625" style="2" customWidth="1"/>
    <col min="9988" max="9989" width="13.375" style="2"/>
    <col min="9990" max="9992" width="14.625" style="2" customWidth="1"/>
    <col min="9993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3" width="14.625" style="2" customWidth="1"/>
    <col min="10244" max="10245" width="13.375" style="2"/>
    <col min="10246" max="10248" width="14.625" style="2" customWidth="1"/>
    <col min="10249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499" width="14.625" style="2" customWidth="1"/>
    <col min="10500" max="10501" width="13.375" style="2"/>
    <col min="10502" max="10504" width="14.625" style="2" customWidth="1"/>
    <col min="10505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5" width="14.625" style="2" customWidth="1"/>
    <col min="10756" max="10757" width="13.375" style="2"/>
    <col min="10758" max="10760" width="14.625" style="2" customWidth="1"/>
    <col min="10761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1" width="14.625" style="2" customWidth="1"/>
    <col min="11012" max="11013" width="13.375" style="2"/>
    <col min="11014" max="11016" width="14.625" style="2" customWidth="1"/>
    <col min="11017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7" width="14.625" style="2" customWidth="1"/>
    <col min="11268" max="11269" width="13.375" style="2"/>
    <col min="11270" max="11272" width="14.625" style="2" customWidth="1"/>
    <col min="11273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3" width="14.625" style="2" customWidth="1"/>
    <col min="11524" max="11525" width="13.375" style="2"/>
    <col min="11526" max="11528" width="14.625" style="2" customWidth="1"/>
    <col min="11529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79" width="14.625" style="2" customWidth="1"/>
    <col min="11780" max="11781" width="13.375" style="2"/>
    <col min="11782" max="11784" width="14.625" style="2" customWidth="1"/>
    <col min="11785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5" width="14.625" style="2" customWidth="1"/>
    <col min="12036" max="12037" width="13.375" style="2"/>
    <col min="12038" max="12040" width="14.625" style="2" customWidth="1"/>
    <col min="12041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1" width="14.625" style="2" customWidth="1"/>
    <col min="12292" max="12293" width="13.375" style="2"/>
    <col min="12294" max="12296" width="14.625" style="2" customWidth="1"/>
    <col min="12297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7" width="14.625" style="2" customWidth="1"/>
    <col min="12548" max="12549" width="13.375" style="2"/>
    <col min="12550" max="12552" width="14.625" style="2" customWidth="1"/>
    <col min="12553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3" width="14.625" style="2" customWidth="1"/>
    <col min="12804" max="12805" width="13.375" style="2"/>
    <col min="12806" max="12808" width="14.625" style="2" customWidth="1"/>
    <col min="12809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59" width="14.625" style="2" customWidth="1"/>
    <col min="13060" max="13061" width="13.375" style="2"/>
    <col min="13062" max="13064" width="14.625" style="2" customWidth="1"/>
    <col min="13065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5" width="14.625" style="2" customWidth="1"/>
    <col min="13316" max="13317" width="13.375" style="2"/>
    <col min="13318" max="13320" width="14.625" style="2" customWidth="1"/>
    <col min="13321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1" width="14.625" style="2" customWidth="1"/>
    <col min="13572" max="13573" width="13.375" style="2"/>
    <col min="13574" max="13576" width="14.625" style="2" customWidth="1"/>
    <col min="13577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7" width="14.625" style="2" customWidth="1"/>
    <col min="13828" max="13829" width="13.375" style="2"/>
    <col min="13830" max="13832" width="14.625" style="2" customWidth="1"/>
    <col min="13833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3" width="14.625" style="2" customWidth="1"/>
    <col min="14084" max="14085" width="13.375" style="2"/>
    <col min="14086" max="14088" width="14.625" style="2" customWidth="1"/>
    <col min="14089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39" width="14.625" style="2" customWidth="1"/>
    <col min="14340" max="14341" width="13.375" style="2"/>
    <col min="14342" max="14344" width="14.625" style="2" customWidth="1"/>
    <col min="14345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5" width="14.625" style="2" customWidth="1"/>
    <col min="14596" max="14597" width="13.375" style="2"/>
    <col min="14598" max="14600" width="14.625" style="2" customWidth="1"/>
    <col min="14601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1" width="14.625" style="2" customWidth="1"/>
    <col min="14852" max="14853" width="13.375" style="2"/>
    <col min="14854" max="14856" width="14.625" style="2" customWidth="1"/>
    <col min="14857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7" width="14.625" style="2" customWidth="1"/>
    <col min="15108" max="15109" width="13.375" style="2"/>
    <col min="15110" max="15112" width="14.625" style="2" customWidth="1"/>
    <col min="15113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3" width="14.625" style="2" customWidth="1"/>
    <col min="15364" max="15365" width="13.375" style="2"/>
    <col min="15366" max="15368" width="14.625" style="2" customWidth="1"/>
    <col min="15369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19" width="14.625" style="2" customWidth="1"/>
    <col min="15620" max="15621" width="13.375" style="2"/>
    <col min="15622" max="15624" width="14.625" style="2" customWidth="1"/>
    <col min="15625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5" width="14.625" style="2" customWidth="1"/>
    <col min="15876" max="15877" width="13.375" style="2"/>
    <col min="15878" max="15880" width="14.625" style="2" customWidth="1"/>
    <col min="15881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1" width="14.625" style="2" customWidth="1"/>
    <col min="16132" max="16133" width="13.375" style="2"/>
    <col min="16134" max="16136" width="14.625" style="2" customWidth="1"/>
    <col min="16137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4" t="s">
        <v>741</v>
      </c>
    </row>
    <row r="8" spans="1:10" x14ac:dyDescent="0.2">
      <c r="C8" s="1" t="s">
        <v>742</v>
      </c>
    </row>
    <row r="9" spans="1:10" x14ac:dyDescent="0.2">
      <c r="C9" s="1" t="s">
        <v>743</v>
      </c>
    </row>
    <row r="10" spans="1:10" x14ac:dyDescent="0.2">
      <c r="C10" s="1" t="s">
        <v>744</v>
      </c>
    </row>
    <row r="11" spans="1:10" x14ac:dyDescent="0.2">
      <c r="C11" s="1" t="s">
        <v>745</v>
      </c>
    </row>
    <row r="12" spans="1:10" x14ac:dyDescent="0.2">
      <c r="C12" s="1" t="s">
        <v>746</v>
      </c>
    </row>
    <row r="13" spans="1:10" x14ac:dyDescent="0.2">
      <c r="C13" s="1" t="s">
        <v>747</v>
      </c>
    </row>
    <row r="14" spans="1:10" ht="18" thickBot="1" x14ac:dyDescent="0.25">
      <c r="B14" s="6"/>
      <c r="C14" s="7" t="s">
        <v>748</v>
      </c>
      <c r="D14" s="6"/>
      <c r="E14" s="6"/>
      <c r="F14" s="6"/>
      <c r="G14" s="6"/>
      <c r="H14" s="6"/>
      <c r="I14" s="6"/>
      <c r="J14" s="9" t="s">
        <v>2</v>
      </c>
    </row>
    <row r="15" spans="1:10" x14ac:dyDescent="0.2">
      <c r="C15" s="10"/>
    </row>
    <row r="16" spans="1:10" x14ac:dyDescent="0.2">
      <c r="B16" s="1" t="s">
        <v>70</v>
      </c>
      <c r="C16" s="14"/>
      <c r="D16" s="12"/>
      <c r="E16" s="31" t="s">
        <v>749</v>
      </c>
      <c r="F16" s="12"/>
      <c r="G16" s="12"/>
      <c r="H16" s="12"/>
      <c r="I16" s="12"/>
      <c r="J16" s="12"/>
    </row>
    <row r="17" spans="2:10" x14ac:dyDescent="0.2">
      <c r="C17" s="10"/>
      <c r="D17" s="10"/>
      <c r="E17" s="10"/>
      <c r="F17" s="10"/>
      <c r="G17" s="10"/>
      <c r="H17" s="10"/>
      <c r="I17" s="10"/>
      <c r="J17" s="10"/>
    </row>
    <row r="18" spans="2:10" x14ac:dyDescent="0.2">
      <c r="B18" s="12"/>
      <c r="C18" s="17" t="s">
        <v>750</v>
      </c>
      <c r="D18" s="17" t="s">
        <v>751</v>
      </c>
      <c r="E18" s="17" t="s">
        <v>752</v>
      </c>
      <c r="F18" s="17" t="s">
        <v>753</v>
      </c>
      <c r="G18" s="17" t="s">
        <v>754</v>
      </c>
      <c r="H18" s="17" t="s">
        <v>755</v>
      </c>
      <c r="I18" s="14"/>
      <c r="J18" s="14"/>
    </row>
    <row r="19" spans="2:10" x14ac:dyDescent="0.2">
      <c r="C19" s="28"/>
      <c r="D19" s="5"/>
      <c r="E19" s="5"/>
      <c r="F19" s="5"/>
      <c r="G19" s="5"/>
      <c r="H19" s="5"/>
    </row>
    <row r="20" spans="2:10" x14ac:dyDescent="0.2">
      <c r="B20" s="1" t="s">
        <v>756</v>
      </c>
      <c r="C20" s="32" t="s">
        <v>52</v>
      </c>
      <c r="D20" s="5">
        <v>4</v>
      </c>
      <c r="E20" s="5">
        <v>4</v>
      </c>
      <c r="F20" s="5">
        <v>2</v>
      </c>
      <c r="G20" s="35" t="s">
        <v>52</v>
      </c>
      <c r="H20" s="5">
        <v>1</v>
      </c>
    </row>
    <row r="21" spans="2:10" x14ac:dyDescent="0.2">
      <c r="B21" s="1" t="s">
        <v>16</v>
      </c>
      <c r="C21" s="32" t="s">
        <v>52</v>
      </c>
      <c r="D21" s="5">
        <v>4</v>
      </c>
      <c r="E21" s="5">
        <v>2</v>
      </c>
      <c r="F21" s="5">
        <v>9</v>
      </c>
      <c r="G21" s="35" t="s">
        <v>52</v>
      </c>
      <c r="H21" s="5">
        <v>3</v>
      </c>
    </row>
    <row r="22" spans="2:10" x14ac:dyDescent="0.2">
      <c r="B22" s="1" t="s">
        <v>17</v>
      </c>
      <c r="C22" s="32" t="s">
        <v>52</v>
      </c>
      <c r="D22" s="5">
        <v>12</v>
      </c>
      <c r="E22" s="5">
        <v>4</v>
      </c>
      <c r="F22" s="5">
        <v>11</v>
      </c>
      <c r="G22" s="35" t="s">
        <v>52</v>
      </c>
      <c r="H22" s="5">
        <v>1</v>
      </c>
    </row>
    <row r="23" spans="2:10" x14ac:dyDescent="0.2">
      <c r="C23" s="10"/>
    </row>
    <row r="24" spans="2:10" x14ac:dyDescent="0.2">
      <c r="B24" s="1" t="s">
        <v>757</v>
      </c>
      <c r="C24" s="32" t="s">
        <v>52</v>
      </c>
      <c r="D24" s="5">
        <v>7</v>
      </c>
      <c r="E24" s="5">
        <v>4</v>
      </c>
      <c r="F24" s="5">
        <v>3</v>
      </c>
      <c r="G24" s="35" t="s">
        <v>52</v>
      </c>
      <c r="H24" s="5">
        <v>3</v>
      </c>
    </row>
    <row r="25" spans="2:10" x14ac:dyDescent="0.2">
      <c r="B25" s="1" t="s">
        <v>19</v>
      </c>
      <c r="C25" s="32" t="s">
        <v>52</v>
      </c>
      <c r="D25" s="5">
        <v>1</v>
      </c>
      <c r="E25" s="5">
        <v>1</v>
      </c>
      <c r="F25" s="5">
        <v>3</v>
      </c>
      <c r="G25" s="35" t="s">
        <v>52</v>
      </c>
      <c r="H25" s="5">
        <v>7</v>
      </c>
    </row>
    <row r="26" spans="2:10" x14ac:dyDescent="0.2">
      <c r="B26" s="1" t="s">
        <v>160</v>
      </c>
      <c r="C26" s="32" t="s">
        <v>52</v>
      </c>
      <c r="D26" s="5">
        <v>2</v>
      </c>
      <c r="E26" s="35" t="s">
        <v>52</v>
      </c>
      <c r="F26" s="35" t="s">
        <v>52</v>
      </c>
      <c r="G26" s="35" t="s">
        <v>52</v>
      </c>
      <c r="H26" s="5">
        <v>7</v>
      </c>
    </row>
    <row r="27" spans="2:10" x14ac:dyDescent="0.2">
      <c r="C27" s="28"/>
      <c r="D27" s="5"/>
      <c r="E27" s="5"/>
      <c r="F27" s="5"/>
      <c r="G27" s="5"/>
      <c r="H27" s="5"/>
    </row>
    <row r="28" spans="2:10" x14ac:dyDescent="0.2">
      <c r="B28" s="1" t="s">
        <v>21</v>
      </c>
      <c r="C28" s="32" t="s">
        <v>52</v>
      </c>
      <c r="D28" s="5">
        <v>5</v>
      </c>
      <c r="E28" s="5">
        <v>1</v>
      </c>
      <c r="F28" s="35" t="s">
        <v>52</v>
      </c>
      <c r="G28" s="35" t="s">
        <v>52</v>
      </c>
      <c r="H28" s="5">
        <v>3</v>
      </c>
    </row>
    <row r="29" spans="2:10" x14ac:dyDescent="0.2">
      <c r="B29" s="1" t="s">
        <v>586</v>
      </c>
      <c r="C29" s="28">
        <v>1</v>
      </c>
      <c r="D29" s="35" t="s">
        <v>52</v>
      </c>
      <c r="E29" s="5">
        <v>1</v>
      </c>
      <c r="F29" s="5">
        <v>1</v>
      </c>
      <c r="G29" s="35" t="s">
        <v>52</v>
      </c>
      <c r="H29" s="5">
        <v>1</v>
      </c>
    </row>
    <row r="30" spans="2:10" x14ac:dyDescent="0.2">
      <c r="B30" s="1" t="s">
        <v>22</v>
      </c>
      <c r="C30" s="32" t="s">
        <v>52</v>
      </c>
      <c r="D30" s="5">
        <v>3</v>
      </c>
      <c r="E30" s="35" t="s">
        <v>52</v>
      </c>
      <c r="F30" s="35" t="s">
        <v>52</v>
      </c>
      <c r="G30" s="35" t="s">
        <v>52</v>
      </c>
      <c r="H30" s="5">
        <v>6</v>
      </c>
    </row>
    <row r="31" spans="2:10" x14ac:dyDescent="0.2">
      <c r="C31" s="28"/>
      <c r="D31" s="5"/>
      <c r="E31" s="5"/>
      <c r="F31" s="5"/>
      <c r="G31" s="5"/>
      <c r="H31" s="5"/>
    </row>
    <row r="32" spans="2:10" x14ac:dyDescent="0.2">
      <c r="B32" s="1" t="s">
        <v>587</v>
      </c>
      <c r="C32" s="32" t="s">
        <v>52</v>
      </c>
      <c r="D32" s="5">
        <v>3</v>
      </c>
      <c r="E32" s="5">
        <v>1</v>
      </c>
      <c r="F32" s="35" t="s">
        <v>52</v>
      </c>
      <c r="G32" s="35" t="s">
        <v>52</v>
      </c>
      <c r="H32" s="5">
        <v>5</v>
      </c>
    </row>
    <row r="33" spans="2:10" x14ac:dyDescent="0.2">
      <c r="B33" s="1" t="s">
        <v>588</v>
      </c>
      <c r="C33" s="32" t="s">
        <v>52</v>
      </c>
      <c r="D33" s="35" t="s">
        <v>52</v>
      </c>
      <c r="E33" s="35" t="s">
        <v>52</v>
      </c>
      <c r="F33" s="35" t="s">
        <v>52</v>
      </c>
      <c r="G33" s="35" t="s">
        <v>52</v>
      </c>
      <c r="H33" s="5">
        <v>4</v>
      </c>
    </row>
    <row r="34" spans="2:10" x14ac:dyDescent="0.2">
      <c r="B34" s="1" t="s">
        <v>589</v>
      </c>
      <c r="C34" s="32" t="s">
        <v>52</v>
      </c>
      <c r="D34" s="5">
        <v>4</v>
      </c>
      <c r="E34" s="5">
        <v>1</v>
      </c>
      <c r="F34" s="35" t="s">
        <v>52</v>
      </c>
      <c r="G34" s="35" t="s">
        <v>52</v>
      </c>
      <c r="H34" s="35" t="s">
        <v>52</v>
      </c>
    </row>
    <row r="35" spans="2:10" x14ac:dyDescent="0.2">
      <c r="C35" s="10"/>
    </row>
    <row r="36" spans="2:10" x14ac:dyDescent="0.2">
      <c r="B36" s="1" t="s">
        <v>24</v>
      </c>
      <c r="C36" s="32" t="s">
        <v>52</v>
      </c>
      <c r="D36" s="5">
        <v>2</v>
      </c>
      <c r="E36" s="5">
        <v>1</v>
      </c>
      <c r="F36" s="35" t="s">
        <v>52</v>
      </c>
      <c r="G36" s="35" t="s">
        <v>52</v>
      </c>
      <c r="H36" s="5">
        <v>1</v>
      </c>
    </row>
    <row r="37" spans="2:10" x14ac:dyDescent="0.2">
      <c r="B37" s="1" t="s">
        <v>161</v>
      </c>
      <c r="C37" s="32" t="s">
        <v>52</v>
      </c>
      <c r="D37" s="5">
        <v>4</v>
      </c>
      <c r="E37" s="5">
        <v>1</v>
      </c>
      <c r="F37" s="35" t="s">
        <v>52</v>
      </c>
      <c r="G37" s="35" t="s">
        <v>52</v>
      </c>
      <c r="H37" s="35" t="s">
        <v>52</v>
      </c>
    </row>
    <row r="38" spans="2:10" x14ac:dyDescent="0.2">
      <c r="B38" s="1" t="s">
        <v>25</v>
      </c>
      <c r="C38" s="32" t="s">
        <v>52</v>
      </c>
      <c r="D38" s="5">
        <v>3</v>
      </c>
      <c r="E38" s="5">
        <v>1</v>
      </c>
      <c r="F38" s="35" t="s">
        <v>52</v>
      </c>
      <c r="G38" s="35" t="s">
        <v>52</v>
      </c>
      <c r="H38" s="35" t="s">
        <v>52</v>
      </c>
    </row>
    <row r="39" spans="2:10" x14ac:dyDescent="0.2">
      <c r="C39" s="10"/>
    </row>
    <row r="40" spans="2:10" x14ac:dyDescent="0.2">
      <c r="B40" s="1" t="s">
        <v>162</v>
      </c>
      <c r="C40" s="28">
        <v>2</v>
      </c>
      <c r="D40" s="5">
        <v>20</v>
      </c>
      <c r="E40" s="35" t="s">
        <v>52</v>
      </c>
      <c r="F40" s="35" t="s">
        <v>52</v>
      </c>
      <c r="G40" s="35" t="s">
        <v>52</v>
      </c>
      <c r="H40" s="35" t="s">
        <v>52</v>
      </c>
    </row>
    <row r="41" spans="2:10" x14ac:dyDescent="0.2">
      <c r="B41" s="4" t="s">
        <v>53</v>
      </c>
      <c r="C41" s="38" t="s">
        <v>52</v>
      </c>
      <c r="D41" s="26">
        <v>43</v>
      </c>
      <c r="E41" s="26">
        <v>2</v>
      </c>
      <c r="F41" s="37" t="s">
        <v>52</v>
      </c>
      <c r="G41" s="37" t="s">
        <v>52</v>
      </c>
      <c r="H41" s="37" t="s">
        <v>52</v>
      </c>
    </row>
    <row r="42" spans="2:10" ht="18" thickBot="1" x14ac:dyDescent="0.25">
      <c r="B42" s="6"/>
      <c r="C42" s="33"/>
      <c r="D42" s="8"/>
      <c r="E42" s="8"/>
      <c r="F42" s="8"/>
      <c r="G42" s="8"/>
      <c r="H42" s="8"/>
      <c r="I42" s="6"/>
      <c r="J42" s="6"/>
    </row>
    <row r="43" spans="2:10" x14ac:dyDescent="0.2">
      <c r="C43" s="10"/>
      <c r="I43" s="3"/>
      <c r="J43" s="3"/>
    </row>
    <row r="44" spans="2:10" x14ac:dyDescent="0.2">
      <c r="C44" s="14"/>
      <c r="D44" s="12"/>
      <c r="E44" s="12"/>
      <c r="F44" s="31" t="s">
        <v>758</v>
      </c>
      <c r="G44" s="12"/>
      <c r="H44" s="12"/>
      <c r="I44" s="12"/>
      <c r="J44" s="12"/>
    </row>
    <row r="45" spans="2:10" x14ac:dyDescent="0.2">
      <c r="C45" s="10"/>
      <c r="D45" s="10"/>
      <c r="E45" s="10"/>
      <c r="F45" s="10"/>
      <c r="G45" s="10"/>
      <c r="H45" s="10"/>
      <c r="I45" s="10"/>
      <c r="J45" s="10"/>
    </row>
    <row r="46" spans="2:10" x14ac:dyDescent="0.2">
      <c r="B46" s="12"/>
      <c r="C46" s="17" t="s">
        <v>759</v>
      </c>
      <c r="D46" s="17" t="s">
        <v>760</v>
      </c>
      <c r="E46" s="17" t="s">
        <v>761</v>
      </c>
      <c r="F46" s="17" t="s">
        <v>762</v>
      </c>
      <c r="G46" s="17" t="s">
        <v>763</v>
      </c>
      <c r="H46" s="17" t="s">
        <v>764</v>
      </c>
      <c r="I46" s="17" t="s">
        <v>765</v>
      </c>
      <c r="J46" s="17" t="s">
        <v>766</v>
      </c>
    </row>
    <row r="47" spans="2:10" x14ac:dyDescent="0.2">
      <c r="C47" s="28"/>
      <c r="D47" s="5"/>
      <c r="E47" s="5"/>
      <c r="F47" s="5"/>
      <c r="G47" s="5"/>
      <c r="H47" s="5"/>
      <c r="I47" s="5"/>
      <c r="J47" s="5"/>
    </row>
    <row r="48" spans="2:10" x14ac:dyDescent="0.2">
      <c r="B48" s="1" t="s">
        <v>756</v>
      </c>
      <c r="C48" s="28">
        <v>1499</v>
      </c>
      <c r="D48" s="5">
        <v>101</v>
      </c>
      <c r="E48" s="5">
        <v>10</v>
      </c>
      <c r="F48" s="35" t="s">
        <v>52</v>
      </c>
      <c r="G48" s="35" t="s">
        <v>52</v>
      </c>
      <c r="H48" s="35" t="s">
        <v>52</v>
      </c>
      <c r="I48" s="5">
        <v>178</v>
      </c>
      <c r="J48" s="5">
        <v>176</v>
      </c>
    </row>
    <row r="49" spans="2:10" x14ac:dyDescent="0.2">
      <c r="B49" s="1" t="s">
        <v>16</v>
      </c>
      <c r="C49" s="32" t="s">
        <v>52</v>
      </c>
      <c r="D49" s="5">
        <v>146</v>
      </c>
      <c r="E49" s="5">
        <v>7</v>
      </c>
      <c r="F49" s="35" t="s">
        <v>52</v>
      </c>
      <c r="G49" s="5">
        <v>1</v>
      </c>
      <c r="H49" s="35" t="s">
        <v>52</v>
      </c>
      <c r="I49" s="5">
        <v>183</v>
      </c>
      <c r="J49" s="5">
        <v>424</v>
      </c>
    </row>
    <row r="50" spans="2:10" x14ac:dyDescent="0.2">
      <c r="B50" s="1" t="s">
        <v>17</v>
      </c>
      <c r="C50" s="28">
        <v>10023</v>
      </c>
      <c r="D50" s="5">
        <v>22</v>
      </c>
      <c r="E50" s="5">
        <v>2</v>
      </c>
      <c r="F50" s="35" t="s">
        <v>52</v>
      </c>
      <c r="G50" s="35" t="s">
        <v>52</v>
      </c>
      <c r="H50" s="35" t="s">
        <v>52</v>
      </c>
      <c r="I50" s="5">
        <v>159</v>
      </c>
      <c r="J50" s="5">
        <v>528</v>
      </c>
    </row>
    <row r="51" spans="2:10" x14ac:dyDescent="0.2">
      <c r="C51" s="10"/>
    </row>
    <row r="52" spans="2:10" x14ac:dyDescent="0.2">
      <c r="B52" s="1" t="s">
        <v>757</v>
      </c>
      <c r="C52" s="28">
        <v>1114</v>
      </c>
      <c r="D52" s="5">
        <v>10</v>
      </c>
      <c r="E52" s="5">
        <v>8</v>
      </c>
      <c r="F52" s="35" t="s">
        <v>52</v>
      </c>
      <c r="G52" s="35" t="s">
        <v>52</v>
      </c>
      <c r="H52" s="35" t="s">
        <v>52</v>
      </c>
      <c r="I52" s="5">
        <v>388</v>
      </c>
      <c r="J52" s="5">
        <v>370</v>
      </c>
    </row>
    <row r="53" spans="2:10" x14ac:dyDescent="0.2">
      <c r="B53" s="1" t="s">
        <v>19</v>
      </c>
      <c r="C53" s="28">
        <v>734</v>
      </c>
      <c r="D53" s="5">
        <v>157</v>
      </c>
      <c r="E53" s="5">
        <v>2</v>
      </c>
      <c r="F53" s="35" t="s">
        <v>52</v>
      </c>
      <c r="G53" s="35" t="s">
        <v>52</v>
      </c>
      <c r="H53" s="35" t="s">
        <v>52</v>
      </c>
      <c r="I53" s="5">
        <v>254</v>
      </c>
      <c r="J53" s="5">
        <v>179</v>
      </c>
    </row>
    <row r="54" spans="2:10" x14ac:dyDescent="0.2">
      <c r="B54" s="1" t="s">
        <v>160</v>
      </c>
      <c r="C54" s="28">
        <v>4793</v>
      </c>
      <c r="D54" s="35" t="s">
        <v>52</v>
      </c>
      <c r="E54" s="35" t="s">
        <v>52</v>
      </c>
      <c r="F54" s="35" t="s">
        <v>52</v>
      </c>
      <c r="G54" s="35" t="s">
        <v>52</v>
      </c>
      <c r="H54" s="35" t="s">
        <v>52</v>
      </c>
      <c r="I54" s="5">
        <v>191</v>
      </c>
      <c r="J54" s="5">
        <v>286</v>
      </c>
    </row>
    <row r="55" spans="2:10" x14ac:dyDescent="0.2">
      <c r="C55" s="28"/>
      <c r="D55" s="5"/>
      <c r="E55" s="5"/>
      <c r="F55" s="5"/>
      <c r="G55" s="5"/>
      <c r="H55" s="5"/>
      <c r="I55" s="5"/>
      <c r="J55" s="5"/>
    </row>
    <row r="56" spans="2:10" x14ac:dyDescent="0.2">
      <c r="B56" s="1" t="s">
        <v>21</v>
      </c>
      <c r="C56" s="28">
        <v>154</v>
      </c>
      <c r="D56" s="5">
        <v>37</v>
      </c>
      <c r="E56" s="5">
        <v>2</v>
      </c>
      <c r="F56" s="35" t="s">
        <v>52</v>
      </c>
      <c r="G56" s="35" t="s">
        <v>52</v>
      </c>
      <c r="H56" s="5">
        <v>1</v>
      </c>
      <c r="I56" s="5">
        <v>159</v>
      </c>
      <c r="J56" s="35" t="s">
        <v>52</v>
      </c>
    </row>
    <row r="57" spans="2:10" x14ac:dyDescent="0.2">
      <c r="B57" s="1" t="s">
        <v>586</v>
      </c>
      <c r="C57" s="28">
        <v>299</v>
      </c>
      <c r="D57" s="5">
        <v>16</v>
      </c>
      <c r="E57" s="5">
        <v>2</v>
      </c>
      <c r="F57" s="35" t="s">
        <v>52</v>
      </c>
      <c r="G57" s="35" t="s">
        <v>52</v>
      </c>
      <c r="H57" s="35" t="s">
        <v>52</v>
      </c>
      <c r="I57" s="5">
        <v>79</v>
      </c>
      <c r="J57" s="5">
        <v>51</v>
      </c>
    </row>
    <row r="58" spans="2:10" x14ac:dyDescent="0.2">
      <c r="B58" s="1" t="s">
        <v>22</v>
      </c>
      <c r="C58" s="32" t="s">
        <v>52</v>
      </c>
      <c r="D58" s="35" t="s">
        <v>52</v>
      </c>
      <c r="E58" s="5">
        <v>2</v>
      </c>
      <c r="F58" s="35" t="s">
        <v>52</v>
      </c>
      <c r="G58" s="5">
        <v>1</v>
      </c>
      <c r="H58" s="35" t="s">
        <v>52</v>
      </c>
      <c r="I58" s="5">
        <v>101</v>
      </c>
      <c r="J58" s="5">
        <v>287</v>
      </c>
    </row>
    <row r="59" spans="2:10" x14ac:dyDescent="0.2">
      <c r="C59" s="28"/>
      <c r="D59" s="5"/>
      <c r="E59" s="5"/>
      <c r="F59" s="5"/>
      <c r="G59" s="5"/>
      <c r="H59" s="5"/>
      <c r="I59" s="5"/>
      <c r="J59" s="5"/>
    </row>
    <row r="60" spans="2:10" x14ac:dyDescent="0.2">
      <c r="B60" s="1" t="s">
        <v>587</v>
      </c>
      <c r="C60" s="32" t="s">
        <v>52</v>
      </c>
      <c r="D60" s="5">
        <v>1</v>
      </c>
      <c r="E60" s="35" t="s">
        <v>52</v>
      </c>
      <c r="F60" s="35" t="s">
        <v>52</v>
      </c>
      <c r="G60" s="35" t="s">
        <v>52</v>
      </c>
      <c r="H60" s="35" t="s">
        <v>52</v>
      </c>
      <c r="I60" s="5">
        <v>54</v>
      </c>
      <c r="J60" s="5">
        <v>446</v>
      </c>
    </row>
    <row r="61" spans="2:10" x14ac:dyDescent="0.2">
      <c r="B61" s="1" t="s">
        <v>588</v>
      </c>
      <c r="C61" s="32" t="s">
        <v>52</v>
      </c>
      <c r="D61" s="5">
        <v>7</v>
      </c>
      <c r="E61" s="35" t="s">
        <v>52</v>
      </c>
      <c r="F61" s="35" t="s">
        <v>52</v>
      </c>
      <c r="G61" s="35" t="s">
        <v>52</v>
      </c>
      <c r="H61" s="5">
        <v>1</v>
      </c>
      <c r="I61" s="5">
        <v>113</v>
      </c>
      <c r="J61" s="5">
        <v>57</v>
      </c>
    </row>
    <row r="62" spans="2:10" x14ac:dyDescent="0.2">
      <c r="B62" s="1" t="s">
        <v>589</v>
      </c>
      <c r="C62" s="32" t="s">
        <v>52</v>
      </c>
      <c r="D62" s="5">
        <v>4</v>
      </c>
      <c r="E62" s="35" t="s">
        <v>52</v>
      </c>
      <c r="F62" s="35" t="s">
        <v>52</v>
      </c>
      <c r="G62" s="5">
        <v>2</v>
      </c>
      <c r="H62" s="5">
        <v>4</v>
      </c>
      <c r="I62" s="5">
        <v>77</v>
      </c>
      <c r="J62" s="5">
        <v>152</v>
      </c>
    </row>
    <row r="63" spans="2:10" x14ac:dyDescent="0.2">
      <c r="C63" s="10"/>
    </row>
    <row r="64" spans="2:10" x14ac:dyDescent="0.2">
      <c r="B64" s="1" t="s">
        <v>24</v>
      </c>
      <c r="C64" s="32" t="s">
        <v>52</v>
      </c>
      <c r="D64" s="5">
        <v>1</v>
      </c>
      <c r="E64" s="35" t="s">
        <v>52</v>
      </c>
      <c r="F64" s="5">
        <v>1</v>
      </c>
      <c r="G64" s="35" t="s">
        <v>52</v>
      </c>
      <c r="H64" s="35" t="s">
        <v>52</v>
      </c>
      <c r="I64" s="5">
        <v>46</v>
      </c>
      <c r="J64" s="5">
        <v>301</v>
      </c>
    </row>
    <row r="65" spans="1:10" x14ac:dyDescent="0.2">
      <c r="B65" s="1" t="s">
        <v>161</v>
      </c>
      <c r="C65" s="32" t="s">
        <v>52</v>
      </c>
      <c r="D65" s="5">
        <v>38</v>
      </c>
      <c r="E65" s="35" t="s">
        <v>52</v>
      </c>
      <c r="F65" s="35" t="s">
        <v>52</v>
      </c>
      <c r="G65" s="35" t="s">
        <v>52</v>
      </c>
      <c r="H65" s="5">
        <v>1</v>
      </c>
      <c r="I65" s="5">
        <v>30</v>
      </c>
      <c r="J65" s="5">
        <v>71</v>
      </c>
    </row>
    <row r="66" spans="1:10" x14ac:dyDescent="0.2">
      <c r="B66" s="1" t="s">
        <v>25</v>
      </c>
      <c r="C66" s="32" t="s">
        <v>52</v>
      </c>
      <c r="D66" s="35" t="s">
        <v>52</v>
      </c>
      <c r="E66" s="35" t="s">
        <v>52</v>
      </c>
      <c r="F66" s="35" t="s">
        <v>52</v>
      </c>
      <c r="G66" s="35" t="s">
        <v>52</v>
      </c>
      <c r="H66" s="5">
        <v>22</v>
      </c>
      <c r="I66" s="5">
        <v>8</v>
      </c>
      <c r="J66" s="5">
        <v>411</v>
      </c>
    </row>
    <row r="67" spans="1:10" x14ac:dyDescent="0.2">
      <c r="C67" s="10"/>
    </row>
    <row r="68" spans="1:10" x14ac:dyDescent="0.2">
      <c r="B68" s="1" t="s">
        <v>162</v>
      </c>
      <c r="C68" s="32" t="s">
        <v>52</v>
      </c>
      <c r="D68" s="35" t="s">
        <v>52</v>
      </c>
      <c r="E68" s="35" t="s">
        <v>52</v>
      </c>
      <c r="F68" s="35" t="s">
        <v>52</v>
      </c>
      <c r="G68" s="5">
        <v>1</v>
      </c>
      <c r="H68" s="5">
        <v>6</v>
      </c>
      <c r="I68" s="5">
        <v>9</v>
      </c>
      <c r="J68" s="5">
        <v>86</v>
      </c>
    </row>
    <row r="69" spans="1:10" x14ac:dyDescent="0.2">
      <c r="B69" s="4" t="s">
        <v>53</v>
      </c>
      <c r="C69" s="38" t="s">
        <v>52</v>
      </c>
      <c r="D69" s="37" t="s">
        <v>52</v>
      </c>
      <c r="E69" s="37" t="s">
        <v>52</v>
      </c>
      <c r="F69" s="37" t="s">
        <v>52</v>
      </c>
      <c r="G69" s="26">
        <v>1</v>
      </c>
      <c r="H69" s="37" t="s">
        <v>52</v>
      </c>
      <c r="I69" s="26">
        <v>6</v>
      </c>
      <c r="J69" s="26">
        <v>847</v>
      </c>
    </row>
    <row r="70" spans="1:10" ht="18" thickBot="1" x14ac:dyDescent="0.25">
      <c r="B70" s="51"/>
      <c r="C70" s="33"/>
      <c r="D70" s="8"/>
      <c r="E70" s="8"/>
      <c r="F70" s="8"/>
      <c r="G70" s="8"/>
      <c r="H70" s="8"/>
      <c r="I70" s="8"/>
      <c r="J70" s="8"/>
    </row>
    <row r="71" spans="1:10" x14ac:dyDescent="0.2">
      <c r="B71" s="21"/>
      <c r="C71" s="1" t="s">
        <v>767</v>
      </c>
      <c r="D71" s="21"/>
      <c r="E71" s="21"/>
      <c r="F71" s="21"/>
      <c r="G71" s="21"/>
      <c r="H71" s="21"/>
      <c r="I71" s="21"/>
      <c r="J71" s="21"/>
    </row>
    <row r="72" spans="1:10" x14ac:dyDescent="0.2">
      <c r="A72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1" spans="1:10" x14ac:dyDescent="0.2">
      <c r="A1" s="1"/>
    </row>
    <row r="5" spans="1:10" x14ac:dyDescent="0.2">
      <c r="I5" s="21"/>
    </row>
    <row r="6" spans="1:10" x14ac:dyDescent="0.2">
      <c r="D6" s="4" t="s">
        <v>768</v>
      </c>
      <c r="I6" s="21"/>
    </row>
    <row r="7" spans="1:10" ht="18" thickBot="1" x14ac:dyDescent="0.25">
      <c r="B7" s="6"/>
      <c r="C7" s="45" t="s">
        <v>769</v>
      </c>
      <c r="D7" s="7" t="s">
        <v>770</v>
      </c>
      <c r="E7" s="6"/>
      <c r="F7" s="6"/>
      <c r="G7" s="6"/>
      <c r="H7" s="6"/>
      <c r="I7" s="51"/>
      <c r="J7" s="9" t="s">
        <v>2</v>
      </c>
    </row>
    <row r="8" spans="1:10" x14ac:dyDescent="0.2">
      <c r="C8" s="10"/>
      <c r="D8" s="12"/>
      <c r="E8" s="12"/>
      <c r="F8" s="12"/>
      <c r="G8" s="12"/>
      <c r="H8" s="12"/>
      <c r="I8" s="101"/>
      <c r="J8" s="12"/>
    </row>
    <row r="9" spans="1:10" x14ac:dyDescent="0.2">
      <c r="C9" s="10"/>
      <c r="D9" s="10"/>
      <c r="E9" s="12"/>
      <c r="F9" s="12"/>
      <c r="G9" s="101"/>
      <c r="H9" s="20"/>
      <c r="I9" s="16" t="s">
        <v>771</v>
      </c>
      <c r="J9" s="10"/>
    </row>
    <row r="10" spans="1:10" x14ac:dyDescent="0.2">
      <c r="C10" s="16" t="s">
        <v>772</v>
      </c>
      <c r="D10" s="16" t="s">
        <v>773</v>
      </c>
      <c r="E10" s="16" t="s">
        <v>774</v>
      </c>
      <c r="F10" s="16" t="s">
        <v>774</v>
      </c>
      <c r="G10" s="16" t="s">
        <v>775</v>
      </c>
      <c r="H10" s="16" t="s">
        <v>776</v>
      </c>
      <c r="I10" s="16" t="s">
        <v>776</v>
      </c>
      <c r="J10" s="16" t="s">
        <v>51</v>
      </c>
    </row>
    <row r="11" spans="1:10" x14ac:dyDescent="0.2">
      <c r="C11" s="10"/>
      <c r="D11" s="16" t="s">
        <v>777</v>
      </c>
      <c r="E11" s="16" t="s">
        <v>778</v>
      </c>
      <c r="F11" s="16" t="s">
        <v>778</v>
      </c>
      <c r="G11" s="16" t="s">
        <v>779</v>
      </c>
      <c r="H11" s="16" t="s">
        <v>780</v>
      </c>
      <c r="I11" s="16" t="s">
        <v>781</v>
      </c>
      <c r="J11" s="13" t="s">
        <v>782</v>
      </c>
    </row>
    <row r="12" spans="1:10" x14ac:dyDescent="0.2">
      <c r="B12" s="12"/>
      <c r="C12" s="14"/>
      <c r="D12" s="14"/>
      <c r="E12" s="17" t="s">
        <v>783</v>
      </c>
      <c r="F12" s="17" t="s">
        <v>784</v>
      </c>
      <c r="G12" s="17" t="s">
        <v>784</v>
      </c>
      <c r="H12" s="14"/>
      <c r="I12" s="17" t="s">
        <v>785</v>
      </c>
      <c r="J12" s="14"/>
    </row>
    <row r="13" spans="1:10" x14ac:dyDescent="0.2">
      <c r="B13" s="44" t="s">
        <v>786</v>
      </c>
      <c r="C13" s="10"/>
      <c r="F13" s="1" t="s">
        <v>787</v>
      </c>
    </row>
    <row r="14" spans="1:10" x14ac:dyDescent="0.2">
      <c r="B14" s="1" t="s">
        <v>788</v>
      </c>
      <c r="C14" s="18">
        <f>D14+H14+I14+J14</f>
        <v>1263</v>
      </c>
      <c r="D14" s="5">
        <v>1231</v>
      </c>
      <c r="E14" s="5">
        <v>657</v>
      </c>
      <c r="F14" s="102" t="s">
        <v>789</v>
      </c>
      <c r="G14" s="5"/>
      <c r="H14" s="19" t="s">
        <v>52</v>
      </c>
      <c r="I14" s="5">
        <v>25</v>
      </c>
      <c r="J14" s="5">
        <v>7</v>
      </c>
    </row>
    <row r="15" spans="1:10" x14ac:dyDescent="0.2">
      <c r="B15" s="1" t="s">
        <v>585</v>
      </c>
      <c r="C15" s="18">
        <f>D15+H15+I15+J15</f>
        <v>1347</v>
      </c>
      <c r="D15" s="5">
        <v>1312</v>
      </c>
      <c r="E15" s="5">
        <v>668</v>
      </c>
      <c r="F15" s="102" t="s">
        <v>790</v>
      </c>
      <c r="G15" s="5"/>
      <c r="H15" s="19" t="s">
        <v>52</v>
      </c>
      <c r="I15" s="5">
        <v>23</v>
      </c>
      <c r="J15" s="5">
        <v>12</v>
      </c>
    </row>
    <row r="16" spans="1:10" x14ac:dyDescent="0.2">
      <c r="B16" s="1" t="s">
        <v>15</v>
      </c>
      <c r="C16" s="18">
        <f>D16+H16+I16+J16</f>
        <v>1555</v>
      </c>
      <c r="D16" s="5">
        <v>1483</v>
      </c>
      <c r="E16" s="5">
        <f>16+686</f>
        <v>702</v>
      </c>
      <c r="F16" s="102" t="s">
        <v>791</v>
      </c>
      <c r="G16" s="5"/>
      <c r="H16" s="19" t="s">
        <v>52</v>
      </c>
      <c r="I16" s="5">
        <v>47</v>
      </c>
      <c r="J16" s="5">
        <v>25</v>
      </c>
    </row>
    <row r="17" spans="2:10" x14ac:dyDescent="0.2">
      <c r="C17" s="10"/>
      <c r="D17" s="5"/>
    </row>
    <row r="18" spans="2:10" x14ac:dyDescent="0.2">
      <c r="B18" s="1" t="s">
        <v>19</v>
      </c>
      <c r="C18" s="18">
        <f>D18+H18+I18+J18</f>
        <v>1726</v>
      </c>
      <c r="D18" s="5">
        <v>1666</v>
      </c>
      <c r="E18" s="5">
        <v>704</v>
      </c>
      <c r="F18" s="102" t="s">
        <v>792</v>
      </c>
      <c r="G18" s="5"/>
      <c r="H18" s="19" t="s">
        <v>52</v>
      </c>
      <c r="I18" s="5">
        <v>45</v>
      </c>
      <c r="J18" s="5">
        <v>15</v>
      </c>
    </row>
    <row r="19" spans="2:10" x14ac:dyDescent="0.2">
      <c r="B19" s="1" t="s">
        <v>21</v>
      </c>
      <c r="C19" s="18">
        <f>D19+H19+I19+J19</f>
        <v>1841</v>
      </c>
      <c r="D19" s="5">
        <v>1766</v>
      </c>
      <c r="E19" s="5">
        <v>714</v>
      </c>
      <c r="F19" s="102" t="s">
        <v>793</v>
      </c>
      <c r="G19" s="5"/>
      <c r="H19" s="19" t="s">
        <v>52</v>
      </c>
      <c r="I19" s="5">
        <v>52</v>
      </c>
      <c r="J19" s="5">
        <v>23</v>
      </c>
    </row>
    <row r="20" spans="2:10" x14ac:dyDescent="0.2">
      <c r="B20" s="1" t="s">
        <v>22</v>
      </c>
      <c r="C20" s="18">
        <f>D20+H20+I20+J20</f>
        <v>1953</v>
      </c>
      <c r="D20" s="5">
        <v>1887</v>
      </c>
      <c r="E20" s="5">
        <f>18+711</f>
        <v>729</v>
      </c>
      <c r="F20" s="102" t="s">
        <v>794</v>
      </c>
      <c r="G20" s="5"/>
      <c r="H20" s="19" t="s">
        <v>52</v>
      </c>
      <c r="I20" s="5">
        <v>44</v>
      </c>
      <c r="J20" s="5">
        <v>22</v>
      </c>
    </row>
    <row r="21" spans="2:10" x14ac:dyDescent="0.2">
      <c r="C21" s="10"/>
    </row>
    <row r="22" spans="2:10" x14ac:dyDescent="0.2">
      <c r="B22" s="1" t="s">
        <v>23</v>
      </c>
      <c r="C22" s="18">
        <f>D22+H22+I22+J22</f>
        <v>2025</v>
      </c>
      <c r="D22" s="5">
        <v>1967</v>
      </c>
      <c r="E22" s="5">
        <f>14+672</f>
        <v>686</v>
      </c>
      <c r="F22" s="102" t="s">
        <v>795</v>
      </c>
      <c r="G22" s="5"/>
      <c r="H22" s="5">
        <v>4</v>
      </c>
      <c r="I22" s="5">
        <v>42</v>
      </c>
      <c r="J22" s="5">
        <v>12</v>
      </c>
    </row>
    <row r="23" spans="2:10" x14ac:dyDescent="0.2">
      <c r="B23" s="1" t="s">
        <v>24</v>
      </c>
      <c r="C23" s="18">
        <f>D23+H23+I23+J23</f>
        <v>2149</v>
      </c>
      <c r="D23" s="5">
        <v>2085</v>
      </c>
      <c r="E23" s="5">
        <f>14+661</f>
        <v>675</v>
      </c>
      <c r="F23" s="102" t="s">
        <v>796</v>
      </c>
      <c r="G23" s="5"/>
      <c r="H23" s="5">
        <v>6</v>
      </c>
      <c r="I23" s="5">
        <v>46</v>
      </c>
      <c r="J23" s="5">
        <v>12</v>
      </c>
    </row>
    <row r="24" spans="2:10" x14ac:dyDescent="0.2">
      <c r="B24" s="1" t="s">
        <v>25</v>
      </c>
      <c r="C24" s="18">
        <f>D24+H24+I24+J24</f>
        <v>2189</v>
      </c>
      <c r="D24" s="5">
        <v>2134</v>
      </c>
      <c r="E24" s="5">
        <v>842</v>
      </c>
      <c r="F24" s="102" t="s">
        <v>797</v>
      </c>
      <c r="G24" s="102" t="s">
        <v>798</v>
      </c>
      <c r="H24" s="5">
        <v>7</v>
      </c>
      <c r="I24" s="5">
        <v>39</v>
      </c>
      <c r="J24" s="5">
        <v>9</v>
      </c>
    </row>
    <row r="25" spans="2:10" x14ac:dyDescent="0.2">
      <c r="B25" s="4" t="s">
        <v>53</v>
      </c>
      <c r="C25" s="20">
        <f>D25+H25+I25+J25</f>
        <v>2320</v>
      </c>
      <c r="D25" s="21">
        <f>E25+F25+G25</f>
        <v>2236</v>
      </c>
      <c r="E25" s="26">
        <v>850</v>
      </c>
      <c r="F25" s="26">
        <v>1028</v>
      </c>
      <c r="G25" s="26">
        <v>358</v>
      </c>
      <c r="H25" s="26">
        <v>16</v>
      </c>
      <c r="I25" s="26">
        <v>55</v>
      </c>
      <c r="J25" s="26">
        <v>13</v>
      </c>
    </row>
    <row r="26" spans="2:10" ht="18" thickBot="1" x14ac:dyDescent="0.25">
      <c r="B26" s="6"/>
      <c r="C26" s="23"/>
      <c r="D26" s="6"/>
      <c r="E26" s="6"/>
      <c r="F26" s="6"/>
      <c r="G26" s="6"/>
      <c r="H26" s="6"/>
      <c r="I26" s="6"/>
      <c r="J26" s="6"/>
    </row>
    <row r="27" spans="2:10" x14ac:dyDescent="0.2">
      <c r="C27" s="1" t="s">
        <v>799</v>
      </c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1" spans="1:10" x14ac:dyDescent="0.2">
      <c r="A1" s="1"/>
    </row>
    <row r="5" spans="1:10" x14ac:dyDescent="0.2">
      <c r="I5" s="21"/>
    </row>
    <row r="6" spans="1:10" x14ac:dyDescent="0.2">
      <c r="D6" s="4" t="s">
        <v>768</v>
      </c>
      <c r="I6" s="21"/>
    </row>
    <row r="7" spans="1:10" ht="18" thickBot="1" x14ac:dyDescent="0.25">
      <c r="B7" s="6"/>
      <c r="C7" s="45" t="s">
        <v>800</v>
      </c>
      <c r="D7" s="7" t="s">
        <v>770</v>
      </c>
      <c r="E7" s="6"/>
      <c r="F7" s="6"/>
      <c r="G7" s="6"/>
      <c r="H7" s="6"/>
      <c r="I7" s="6"/>
      <c r="J7" s="9" t="s">
        <v>2</v>
      </c>
    </row>
    <row r="8" spans="1:10" x14ac:dyDescent="0.2">
      <c r="C8" s="10"/>
      <c r="D8" s="12"/>
      <c r="E8" s="12"/>
      <c r="F8" s="12"/>
      <c r="G8" s="12"/>
      <c r="H8" s="12"/>
      <c r="I8" s="12"/>
      <c r="J8" s="12"/>
    </row>
    <row r="9" spans="1:10" x14ac:dyDescent="0.2">
      <c r="C9" s="10"/>
      <c r="D9" s="10"/>
      <c r="E9" s="12"/>
      <c r="F9" s="12"/>
      <c r="G9" s="101"/>
      <c r="H9" s="20"/>
      <c r="I9" s="16" t="s">
        <v>771</v>
      </c>
      <c r="J9" s="10"/>
    </row>
    <row r="10" spans="1:10" x14ac:dyDescent="0.2">
      <c r="C10" s="16" t="s">
        <v>801</v>
      </c>
      <c r="D10" s="16" t="s">
        <v>773</v>
      </c>
      <c r="E10" s="16" t="s">
        <v>774</v>
      </c>
      <c r="F10" s="16" t="s">
        <v>774</v>
      </c>
      <c r="G10" s="16" t="s">
        <v>775</v>
      </c>
      <c r="H10" s="16" t="s">
        <v>776</v>
      </c>
      <c r="I10" s="16" t="s">
        <v>776</v>
      </c>
      <c r="J10" s="16" t="s">
        <v>51</v>
      </c>
    </row>
    <row r="11" spans="1:10" x14ac:dyDescent="0.2">
      <c r="C11" s="16" t="s">
        <v>802</v>
      </c>
      <c r="D11" s="16" t="s">
        <v>777</v>
      </c>
      <c r="E11" s="16" t="s">
        <v>778</v>
      </c>
      <c r="F11" s="16" t="s">
        <v>778</v>
      </c>
      <c r="G11" s="16" t="s">
        <v>779</v>
      </c>
      <c r="H11" s="16" t="s">
        <v>780</v>
      </c>
      <c r="I11" s="16" t="s">
        <v>781</v>
      </c>
      <c r="J11" s="13" t="s">
        <v>782</v>
      </c>
    </row>
    <row r="12" spans="1:10" x14ac:dyDescent="0.2">
      <c r="B12" s="12"/>
      <c r="C12" s="14"/>
      <c r="D12" s="14"/>
      <c r="E12" s="17" t="s">
        <v>783</v>
      </c>
      <c r="F12" s="17" t="s">
        <v>784</v>
      </c>
      <c r="G12" s="17" t="s">
        <v>784</v>
      </c>
      <c r="H12" s="14"/>
      <c r="I12" s="17" t="s">
        <v>785</v>
      </c>
      <c r="J12" s="14"/>
    </row>
    <row r="13" spans="1:10" x14ac:dyDescent="0.2">
      <c r="B13" s="44" t="s">
        <v>786</v>
      </c>
      <c r="C13" s="10"/>
      <c r="F13" s="1" t="s">
        <v>803</v>
      </c>
    </row>
    <row r="14" spans="1:10" x14ac:dyDescent="0.2">
      <c r="B14" s="1" t="s">
        <v>788</v>
      </c>
      <c r="C14" s="18">
        <f>D14+H14+I14+J14</f>
        <v>372</v>
      </c>
      <c r="D14" s="5">
        <v>363</v>
      </c>
      <c r="E14" s="5">
        <v>313</v>
      </c>
      <c r="F14" s="102" t="s">
        <v>804</v>
      </c>
      <c r="G14" s="5"/>
      <c r="H14" s="19" t="s">
        <v>805</v>
      </c>
      <c r="I14" s="5">
        <v>1</v>
      </c>
      <c r="J14" s="5">
        <v>8</v>
      </c>
    </row>
    <row r="15" spans="1:10" x14ac:dyDescent="0.2">
      <c r="B15" s="1" t="s">
        <v>585</v>
      </c>
      <c r="C15" s="18">
        <f>D15+H15+I15+J15</f>
        <v>404</v>
      </c>
      <c r="D15" s="5">
        <v>392</v>
      </c>
      <c r="E15" s="5">
        <v>322</v>
      </c>
      <c r="F15" s="102" t="s">
        <v>806</v>
      </c>
      <c r="G15" s="5"/>
      <c r="H15" s="19" t="s">
        <v>805</v>
      </c>
      <c r="I15" s="5">
        <v>1</v>
      </c>
      <c r="J15" s="5">
        <v>11</v>
      </c>
    </row>
    <row r="16" spans="1:10" x14ac:dyDescent="0.2">
      <c r="B16" s="1" t="s">
        <v>15</v>
      </c>
      <c r="C16" s="18">
        <f>D16+H16+I16+J16</f>
        <v>500</v>
      </c>
      <c r="D16" s="5">
        <v>490</v>
      </c>
      <c r="E16" s="5">
        <v>385</v>
      </c>
      <c r="F16" s="102" t="s">
        <v>807</v>
      </c>
      <c r="G16" s="5"/>
      <c r="H16" s="19" t="s">
        <v>805</v>
      </c>
      <c r="I16" s="5">
        <v>2</v>
      </c>
      <c r="J16" s="5">
        <v>8</v>
      </c>
    </row>
    <row r="17" spans="2:10" x14ac:dyDescent="0.2">
      <c r="C17" s="10"/>
      <c r="D17" s="5"/>
      <c r="F17" s="5"/>
    </row>
    <row r="18" spans="2:10" x14ac:dyDescent="0.2">
      <c r="B18" s="1" t="s">
        <v>19</v>
      </c>
      <c r="C18" s="18">
        <f>D18+H18+I18+J18</f>
        <v>583</v>
      </c>
      <c r="D18" s="5">
        <v>563</v>
      </c>
      <c r="E18" s="5">
        <v>450</v>
      </c>
      <c r="F18" s="102" t="s">
        <v>808</v>
      </c>
      <c r="G18" s="5"/>
      <c r="H18" s="19" t="s">
        <v>805</v>
      </c>
      <c r="I18" s="5">
        <v>3</v>
      </c>
      <c r="J18" s="5">
        <v>17</v>
      </c>
    </row>
    <row r="19" spans="2:10" x14ac:dyDescent="0.2">
      <c r="B19" s="1" t="s">
        <v>21</v>
      </c>
      <c r="C19" s="18">
        <f>D19+H19+I19+J19</f>
        <v>595</v>
      </c>
      <c r="D19" s="5">
        <v>577</v>
      </c>
      <c r="E19" s="5">
        <v>461</v>
      </c>
      <c r="F19" s="102" t="s">
        <v>809</v>
      </c>
      <c r="G19" s="5"/>
      <c r="H19" s="19" t="s">
        <v>805</v>
      </c>
      <c r="I19" s="5">
        <v>3</v>
      </c>
      <c r="J19" s="5">
        <v>15</v>
      </c>
    </row>
    <row r="20" spans="2:10" x14ac:dyDescent="0.2">
      <c r="B20" s="1" t="s">
        <v>22</v>
      </c>
      <c r="C20" s="18">
        <f>D20+H20+I20+J20</f>
        <v>617</v>
      </c>
      <c r="D20" s="5">
        <v>595</v>
      </c>
      <c r="E20" s="5">
        <v>485</v>
      </c>
      <c r="F20" s="102" t="s">
        <v>810</v>
      </c>
      <c r="G20" s="5"/>
      <c r="H20" s="19" t="s">
        <v>805</v>
      </c>
      <c r="I20" s="5">
        <v>3</v>
      </c>
      <c r="J20" s="5">
        <v>19</v>
      </c>
    </row>
    <row r="21" spans="2:10" x14ac:dyDescent="0.2">
      <c r="C21" s="10"/>
    </row>
    <row r="22" spans="2:10" x14ac:dyDescent="0.2">
      <c r="B22" s="1" t="s">
        <v>23</v>
      </c>
      <c r="C22" s="18">
        <f>D22+H22+I22+J22</f>
        <v>619</v>
      </c>
      <c r="D22" s="5">
        <v>605</v>
      </c>
      <c r="E22" s="5">
        <v>500</v>
      </c>
      <c r="F22" s="102" t="s">
        <v>807</v>
      </c>
      <c r="G22" s="5"/>
      <c r="H22" s="19" t="s">
        <v>805</v>
      </c>
      <c r="I22" s="5">
        <v>1</v>
      </c>
      <c r="J22" s="5">
        <v>13</v>
      </c>
    </row>
    <row r="23" spans="2:10" x14ac:dyDescent="0.2">
      <c r="B23" s="1" t="s">
        <v>24</v>
      </c>
      <c r="C23" s="18">
        <f>D23+H23+I23+J23</f>
        <v>647</v>
      </c>
      <c r="D23" s="5">
        <v>629</v>
      </c>
      <c r="E23" s="5">
        <v>515</v>
      </c>
      <c r="F23" s="102" t="s">
        <v>811</v>
      </c>
      <c r="G23" s="5"/>
      <c r="H23" s="19" t="s">
        <v>805</v>
      </c>
      <c r="I23" s="5">
        <v>3</v>
      </c>
      <c r="J23" s="5">
        <v>15</v>
      </c>
    </row>
    <row r="24" spans="2:10" x14ac:dyDescent="0.2">
      <c r="B24" s="1" t="s">
        <v>25</v>
      </c>
      <c r="C24" s="18">
        <f>D24+H24+I24+J24</f>
        <v>662</v>
      </c>
      <c r="D24" s="43">
        <f>E24+F24+G24</f>
        <v>640</v>
      </c>
      <c r="E24" s="5">
        <v>531</v>
      </c>
      <c r="F24" s="5">
        <v>92</v>
      </c>
      <c r="G24" s="5">
        <v>17</v>
      </c>
      <c r="H24" s="19" t="s">
        <v>805</v>
      </c>
      <c r="I24" s="5">
        <v>2</v>
      </c>
      <c r="J24" s="5">
        <v>20</v>
      </c>
    </row>
    <row r="25" spans="2:10" x14ac:dyDescent="0.2">
      <c r="B25" s="4" t="s">
        <v>812</v>
      </c>
      <c r="C25" s="20">
        <f>D25+H25+I25+J25</f>
        <v>677</v>
      </c>
      <c r="D25" s="21">
        <f>E25+F25+G25</f>
        <v>662</v>
      </c>
      <c r="E25" s="26">
        <v>538</v>
      </c>
      <c r="F25" s="26">
        <v>108</v>
      </c>
      <c r="G25" s="26">
        <v>16</v>
      </c>
      <c r="H25" s="27" t="s">
        <v>805</v>
      </c>
      <c r="I25" s="26">
        <v>2</v>
      </c>
      <c r="J25" s="26">
        <v>13</v>
      </c>
    </row>
    <row r="26" spans="2:10" ht="18" thickBot="1" x14ac:dyDescent="0.25">
      <c r="B26" s="6"/>
      <c r="C26" s="23"/>
      <c r="D26" s="6"/>
      <c r="E26" s="6"/>
      <c r="F26" s="6"/>
      <c r="G26" s="6"/>
      <c r="H26" s="6"/>
      <c r="I26" s="6"/>
      <c r="J26" s="6"/>
    </row>
    <row r="27" spans="2:10" x14ac:dyDescent="0.2">
      <c r="C27" s="1" t="s">
        <v>799</v>
      </c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1" spans="1:10" x14ac:dyDescent="0.2">
      <c r="A1" s="1"/>
    </row>
    <row r="5" spans="1:10" x14ac:dyDescent="0.2">
      <c r="I5" s="21"/>
    </row>
    <row r="6" spans="1:10" x14ac:dyDescent="0.2">
      <c r="D6" s="4" t="s">
        <v>813</v>
      </c>
    </row>
    <row r="7" spans="1:10" ht="18" thickBot="1" x14ac:dyDescent="0.25">
      <c r="B7" s="6"/>
      <c r="C7" s="6"/>
      <c r="D7" s="7" t="s">
        <v>770</v>
      </c>
      <c r="E7" s="6"/>
      <c r="F7" s="6"/>
      <c r="G7" s="6"/>
      <c r="H7" s="6"/>
      <c r="I7" s="6"/>
      <c r="J7" s="9" t="s">
        <v>2</v>
      </c>
    </row>
    <row r="8" spans="1:10" x14ac:dyDescent="0.2">
      <c r="C8" s="10"/>
      <c r="D8" s="12"/>
      <c r="E8" s="12"/>
      <c r="F8" s="12"/>
      <c r="G8" s="12"/>
      <c r="H8" s="12"/>
      <c r="I8" s="12"/>
      <c r="J8" s="12"/>
    </row>
    <row r="9" spans="1:10" x14ac:dyDescent="0.2">
      <c r="C9" s="13" t="s">
        <v>814</v>
      </c>
      <c r="D9" s="29" t="s">
        <v>815</v>
      </c>
      <c r="E9" s="12"/>
      <c r="F9" s="12"/>
      <c r="G9" s="10"/>
      <c r="H9" s="13" t="s">
        <v>816</v>
      </c>
      <c r="I9" s="13" t="s">
        <v>817</v>
      </c>
      <c r="J9" s="10"/>
    </row>
    <row r="10" spans="1:10" x14ac:dyDescent="0.2">
      <c r="C10" s="13" t="s">
        <v>818</v>
      </c>
      <c r="D10" s="10"/>
      <c r="E10" s="10"/>
      <c r="F10" s="13" t="s">
        <v>819</v>
      </c>
      <c r="G10" s="13" t="s">
        <v>820</v>
      </c>
      <c r="H10" s="13" t="s">
        <v>821</v>
      </c>
      <c r="I10" s="13" t="s">
        <v>822</v>
      </c>
      <c r="J10" s="16" t="s">
        <v>51</v>
      </c>
    </row>
    <row r="11" spans="1:10" x14ac:dyDescent="0.2">
      <c r="B11" s="12"/>
      <c r="C11" s="14"/>
      <c r="D11" s="17" t="s">
        <v>823</v>
      </c>
      <c r="E11" s="17" t="s">
        <v>824</v>
      </c>
      <c r="F11" s="29" t="s">
        <v>825</v>
      </c>
      <c r="G11" s="17" t="s">
        <v>826</v>
      </c>
      <c r="H11" s="29" t="s">
        <v>827</v>
      </c>
      <c r="I11" s="29" t="s">
        <v>828</v>
      </c>
      <c r="J11" s="29" t="s">
        <v>782</v>
      </c>
    </row>
    <row r="12" spans="1:10" x14ac:dyDescent="0.2">
      <c r="B12" s="44" t="s">
        <v>786</v>
      </c>
      <c r="C12" s="10"/>
      <c r="G12" s="1" t="s">
        <v>787</v>
      </c>
    </row>
    <row r="13" spans="1:10" x14ac:dyDescent="0.2">
      <c r="B13" s="1" t="s">
        <v>788</v>
      </c>
      <c r="C13" s="28">
        <v>908</v>
      </c>
      <c r="D13" s="5">
        <v>248</v>
      </c>
      <c r="E13" s="5">
        <v>118</v>
      </c>
      <c r="F13" s="5">
        <v>171</v>
      </c>
      <c r="G13" s="102" t="s">
        <v>829</v>
      </c>
      <c r="H13" s="5"/>
      <c r="I13" s="5">
        <v>162</v>
      </c>
      <c r="J13" s="5">
        <f>27+120</f>
        <v>147</v>
      </c>
    </row>
    <row r="14" spans="1:10" x14ac:dyDescent="0.2">
      <c r="B14" s="1" t="s">
        <v>585</v>
      </c>
      <c r="C14" s="28">
        <v>979</v>
      </c>
      <c r="D14" s="5">
        <v>244</v>
      </c>
      <c r="E14" s="5">
        <v>141</v>
      </c>
      <c r="F14" s="5">
        <f>164+25</f>
        <v>189</v>
      </c>
      <c r="G14" s="102" t="s">
        <v>830</v>
      </c>
      <c r="H14" s="5"/>
      <c r="I14" s="5">
        <f>46+33+41</f>
        <v>120</v>
      </c>
      <c r="J14" s="5">
        <v>218</v>
      </c>
    </row>
    <row r="15" spans="1:10" x14ac:dyDescent="0.2">
      <c r="B15" s="1" t="s">
        <v>15</v>
      </c>
      <c r="C15" s="28">
        <v>1143</v>
      </c>
      <c r="D15" s="5">
        <v>280</v>
      </c>
      <c r="E15" s="5">
        <v>129</v>
      </c>
      <c r="F15" s="5">
        <f>220+29</f>
        <v>249</v>
      </c>
      <c r="G15" s="102" t="s">
        <v>831</v>
      </c>
      <c r="H15" s="5"/>
      <c r="I15" s="5">
        <f>60+41+51</f>
        <v>152</v>
      </c>
      <c r="J15" s="5">
        <f>26+32+219</f>
        <v>277</v>
      </c>
    </row>
    <row r="16" spans="1:10" x14ac:dyDescent="0.2">
      <c r="C16" s="28"/>
      <c r="G16" s="5"/>
      <c r="I16" s="5"/>
    </row>
    <row r="17" spans="1:10" x14ac:dyDescent="0.2">
      <c r="B17" s="1" t="s">
        <v>19</v>
      </c>
      <c r="C17" s="28">
        <v>1308</v>
      </c>
      <c r="D17" s="5">
        <v>298</v>
      </c>
      <c r="E17" s="5">
        <v>176</v>
      </c>
      <c r="F17" s="5">
        <f>271+19</f>
        <v>290</v>
      </c>
      <c r="G17" s="102" t="s">
        <v>832</v>
      </c>
      <c r="H17" s="5"/>
      <c r="I17" s="5">
        <f>66+37+66</f>
        <v>169</v>
      </c>
      <c r="J17" s="5">
        <f>24+35+253</f>
        <v>312</v>
      </c>
    </row>
    <row r="18" spans="1:10" x14ac:dyDescent="0.2">
      <c r="B18" s="1" t="s">
        <v>21</v>
      </c>
      <c r="C18" s="28">
        <v>1343</v>
      </c>
      <c r="D18" s="5">
        <v>302</v>
      </c>
      <c r="E18" s="5">
        <v>180</v>
      </c>
      <c r="F18" s="5">
        <f>282+16</f>
        <v>298</v>
      </c>
      <c r="G18" s="102" t="s">
        <v>833</v>
      </c>
      <c r="H18" s="5"/>
      <c r="I18" s="5">
        <f>70+44+66</f>
        <v>180</v>
      </c>
      <c r="J18" s="5">
        <f>4+20+40+251+4</f>
        <v>319</v>
      </c>
    </row>
    <row r="19" spans="1:10" x14ac:dyDescent="0.2">
      <c r="B19" s="1" t="s">
        <v>22</v>
      </c>
      <c r="C19" s="28">
        <v>1400</v>
      </c>
      <c r="D19" s="5">
        <v>302</v>
      </c>
      <c r="E19" s="5">
        <v>196</v>
      </c>
      <c r="F19" s="5">
        <f>306+11</f>
        <v>317</v>
      </c>
      <c r="G19" s="102" t="s">
        <v>834</v>
      </c>
      <c r="H19" s="5"/>
      <c r="I19" s="5">
        <f>71+54+72</f>
        <v>197</v>
      </c>
      <c r="J19" s="5">
        <f>62+266+3</f>
        <v>331</v>
      </c>
    </row>
    <row r="20" spans="1:10" x14ac:dyDescent="0.2">
      <c r="C20" s="10"/>
    </row>
    <row r="21" spans="1:10" x14ac:dyDescent="0.2">
      <c r="B21" s="1" t="s">
        <v>23</v>
      </c>
      <c r="C21" s="28">
        <v>1413</v>
      </c>
      <c r="D21" s="5">
        <v>300</v>
      </c>
      <c r="E21" s="5">
        <v>195</v>
      </c>
      <c r="F21" s="5">
        <f>387+13</f>
        <v>400</v>
      </c>
      <c r="G21" s="102" t="s">
        <v>834</v>
      </c>
      <c r="H21" s="5"/>
      <c r="I21" s="5">
        <f>69+54+56</f>
        <v>179</v>
      </c>
      <c r="J21" s="5">
        <f>2+19+28+233</f>
        <v>282</v>
      </c>
    </row>
    <row r="22" spans="1:10" x14ac:dyDescent="0.2">
      <c r="B22" s="1" t="s">
        <v>24</v>
      </c>
      <c r="C22" s="28">
        <v>1590</v>
      </c>
      <c r="D22" s="5">
        <v>300</v>
      </c>
      <c r="E22" s="5">
        <v>212</v>
      </c>
      <c r="F22" s="5">
        <f>425+14</f>
        <v>439</v>
      </c>
      <c r="G22" s="102" t="s">
        <v>829</v>
      </c>
      <c r="H22" s="5"/>
      <c r="I22" s="5">
        <f>93+61+64</f>
        <v>218</v>
      </c>
      <c r="J22" s="5">
        <f>1+24+51+281+2</f>
        <v>359</v>
      </c>
    </row>
    <row r="23" spans="1:10" x14ac:dyDescent="0.2">
      <c r="B23" s="1" t="s">
        <v>25</v>
      </c>
      <c r="C23" s="18">
        <f>SUM(D23:J23)</f>
        <v>1598</v>
      </c>
      <c r="D23" s="5">
        <v>273</v>
      </c>
      <c r="E23" s="5">
        <v>224</v>
      </c>
      <c r="F23" s="5">
        <v>458</v>
      </c>
      <c r="G23" s="5">
        <v>6</v>
      </c>
      <c r="H23" s="5">
        <v>67</v>
      </c>
      <c r="I23" s="5">
        <v>221</v>
      </c>
      <c r="J23" s="5">
        <v>349</v>
      </c>
    </row>
    <row r="24" spans="1:10" x14ac:dyDescent="0.2">
      <c r="B24" s="4" t="s">
        <v>53</v>
      </c>
      <c r="C24" s="20">
        <f>SUM(D24:J24)</f>
        <v>1857</v>
      </c>
      <c r="D24" s="26">
        <v>292</v>
      </c>
      <c r="E24" s="26">
        <v>294</v>
      </c>
      <c r="F24" s="26">
        <v>516</v>
      </c>
      <c r="G24" s="26">
        <v>7</v>
      </c>
      <c r="H24" s="26">
        <v>63</v>
      </c>
      <c r="I24" s="26">
        <v>282</v>
      </c>
      <c r="J24" s="26">
        <v>403</v>
      </c>
    </row>
    <row r="25" spans="1:10" ht="18" thickBot="1" x14ac:dyDescent="0.25">
      <c r="B25" s="6"/>
      <c r="C25" s="23"/>
      <c r="D25" s="6"/>
      <c r="E25" s="6"/>
      <c r="F25" s="6"/>
      <c r="G25" s="6"/>
      <c r="H25" s="6"/>
      <c r="I25" s="6"/>
      <c r="J25" s="6"/>
    </row>
    <row r="26" spans="1:10" x14ac:dyDescent="0.2">
      <c r="C26" s="1" t="s">
        <v>799</v>
      </c>
    </row>
    <row r="27" spans="1:10" x14ac:dyDescent="0.2">
      <c r="A27" s="1"/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29</vt:i4>
      </vt:variant>
    </vt:vector>
  </HeadingPairs>
  <TitlesOfParts>
    <vt:vector size="55" baseType="lpstr">
      <vt:lpstr>T01病院</vt:lpstr>
      <vt:lpstr>T02患者</vt:lpstr>
      <vt:lpstr>T03町村</vt:lpstr>
      <vt:lpstr>T04A死因</vt:lpstr>
      <vt:lpstr>T04B死因</vt:lpstr>
      <vt:lpstr>T05伝染</vt:lpstr>
      <vt:lpstr>T06A医師</vt:lpstr>
      <vt:lpstr>T06B歯科</vt:lpstr>
      <vt:lpstr>T07薬剤師</vt:lpstr>
      <vt:lpstr>T08町村</vt:lpstr>
      <vt:lpstr>T09看護</vt:lpstr>
      <vt:lpstr>T10助産婦</vt:lpstr>
      <vt:lpstr>T11保婦</vt:lpstr>
      <vt:lpstr>T12従事</vt:lpstr>
      <vt:lpstr>T13薬局</vt:lpstr>
      <vt:lpstr>T14理容</vt:lpstr>
      <vt:lpstr>T15施設</vt:lpstr>
      <vt:lpstr>T16保所</vt:lpstr>
      <vt:lpstr>T17献血</vt:lpstr>
      <vt:lpstr>T18ごみ</vt:lpstr>
      <vt:lpstr>T19A水洗</vt:lpstr>
      <vt:lpstr>T19Bし尿</vt:lpstr>
      <vt:lpstr>T20汚染</vt:lpstr>
      <vt:lpstr>T21河川</vt:lpstr>
      <vt:lpstr>T22A苦情</vt:lpstr>
      <vt:lpstr>T22B町村</vt:lpstr>
      <vt:lpstr>T04B死因!\o</vt:lpstr>
      <vt:lpstr>T08町村!\o</vt:lpstr>
      <vt:lpstr>T03町村!\p</vt:lpstr>
      <vt:lpstr>T01病院!Print_Area_MI</vt:lpstr>
      <vt:lpstr>T02患者!Print_Area_MI</vt:lpstr>
      <vt:lpstr>T03町村!Print_Area_MI</vt:lpstr>
      <vt:lpstr>T04A死因!Print_Area_MI</vt:lpstr>
      <vt:lpstr>T04B死因!Print_Area_MI</vt:lpstr>
      <vt:lpstr>T05伝染!Print_Area_MI</vt:lpstr>
      <vt:lpstr>T06A医師!Print_Area_MI</vt:lpstr>
      <vt:lpstr>T06B歯科!Print_Area_MI</vt:lpstr>
      <vt:lpstr>T07薬剤師!Print_Area_MI</vt:lpstr>
      <vt:lpstr>T08町村!Print_Area_MI</vt:lpstr>
      <vt:lpstr>T09看護!Print_Area_MI</vt:lpstr>
      <vt:lpstr>T10助産婦!Print_Area_MI</vt:lpstr>
      <vt:lpstr>T11保婦!Print_Area_MI</vt:lpstr>
      <vt:lpstr>T12従事!Print_Area_MI</vt:lpstr>
      <vt:lpstr>T13薬局!Print_Area_MI</vt:lpstr>
      <vt:lpstr>T14理容!Print_Area_MI</vt:lpstr>
      <vt:lpstr>T15施設!Print_Area_MI</vt:lpstr>
      <vt:lpstr>T16保所!Print_Area_MI</vt:lpstr>
      <vt:lpstr>T17献血!Print_Area_MI</vt:lpstr>
      <vt:lpstr>T18ごみ!Print_Area_MI</vt:lpstr>
      <vt:lpstr>T19A水洗!Print_Area_MI</vt:lpstr>
      <vt:lpstr>T19Bし尿!Print_Area_MI</vt:lpstr>
      <vt:lpstr>T20汚染!Print_Area_MI</vt:lpstr>
      <vt:lpstr>T21河川!Print_Area_MI</vt:lpstr>
      <vt:lpstr>T22A苦情!Print_Area_MI</vt:lpstr>
      <vt:lpstr>T22B町村!Print_Area_MI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2018-08-10T07:43:29Z</dcterms:created>
  <dcterms:modified xsi:type="dcterms:W3CDTF">2018-08-10T07:47:58Z</dcterms:modified>
</cp:coreProperties>
</file>