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I01砕石" sheetId="11" r:id="rId1"/>
    <sheet name="I02生ｺﾝ" sheetId="4" r:id="rId2"/>
    <sheet name="Ｉ03,4製造" sheetId="10" r:id="rId3"/>
    <sheet name="I05町村" sheetId="6" r:id="rId4"/>
    <sheet name="I06薬品" sheetId="7" r:id="rId5"/>
    <sheet name="I07酒類" sheetId="8" r:id="rId6"/>
    <sheet name="I08IIP" sheetId="9" r:id="rId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\o">#N/A</definedName>
    <definedName name="\p">#N/A</definedName>
    <definedName name="\q">#N/A</definedName>
    <definedName name="Print_Area_MI" localSheetId="0">I01砕石!$A$1:$K$37</definedName>
    <definedName name="Print_Area_MI" localSheetId="1">I02生ｺﾝ!$A$1:$K$38</definedName>
    <definedName name="Print_Area_MI" localSheetId="2">'Ｉ03,4製造'!$A$1:$J$73</definedName>
    <definedName name="Print_Area_MI" localSheetId="3">I05町村!$A$1:$J$73</definedName>
    <definedName name="Print_Area_MI" localSheetId="4">I06薬品!$A$1:$J$68</definedName>
    <definedName name="Print_Area_MI" localSheetId="5">I07酒類!$A$1:$K$60</definedName>
    <definedName name="Print_Area_MI" localSheetId="6">I08IIP!$A$1:$L$138</definedName>
  </definedNames>
  <calcPr calcId="145621"/>
</workbook>
</file>

<file path=xl/calcChain.xml><?xml version="1.0" encoding="utf-8"?>
<calcChain xmlns="http://schemas.openxmlformats.org/spreadsheetml/2006/main">
  <c r="H35" i="11" l="1"/>
  <c r="C35" i="11"/>
  <c r="H34" i="11"/>
  <c r="C34" i="11"/>
  <c r="H33" i="11"/>
  <c r="C33" i="11"/>
  <c r="H32" i="11"/>
  <c r="C32" i="11"/>
  <c r="H31" i="11"/>
  <c r="C31" i="11"/>
  <c r="H30" i="11"/>
  <c r="C30" i="11"/>
  <c r="H28" i="11"/>
  <c r="C28" i="11"/>
  <c r="H27" i="11"/>
  <c r="C27" i="11"/>
  <c r="H26" i="11"/>
  <c r="C26" i="11"/>
  <c r="H25" i="11"/>
  <c r="C25" i="11"/>
  <c r="H24" i="11"/>
  <c r="C24" i="11"/>
  <c r="H23" i="11"/>
  <c r="C23" i="11"/>
  <c r="K21" i="11"/>
  <c r="H21" i="11" s="1"/>
  <c r="J21" i="11"/>
  <c r="I21" i="11"/>
  <c r="F21" i="11"/>
  <c r="E21" i="11"/>
  <c r="D21" i="11"/>
  <c r="C21" i="11"/>
  <c r="H20" i="11"/>
  <c r="C20" i="11"/>
  <c r="H19" i="11"/>
  <c r="C19" i="11"/>
  <c r="H18" i="11"/>
  <c r="C18" i="11"/>
  <c r="H17" i="11"/>
  <c r="C17" i="11"/>
  <c r="H15" i="11"/>
  <c r="C15" i="11"/>
  <c r="H14" i="11"/>
  <c r="C14" i="11"/>
  <c r="H13" i="11"/>
  <c r="C13" i="11"/>
  <c r="I815" i="10"/>
  <c r="H815" i="10"/>
  <c r="G815" i="10"/>
  <c r="J814" i="10"/>
  <c r="I814" i="10"/>
  <c r="H814" i="10"/>
  <c r="G814" i="10"/>
  <c r="I786" i="10"/>
  <c r="H786" i="10"/>
  <c r="G786" i="10"/>
  <c r="J785" i="10"/>
  <c r="I785" i="10"/>
  <c r="H785" i="10"/>
  <c r="G785" i="10"/>
  <c r="I745" i="10"/>
  <c r="H745" i="10"/>
  <c r="G745" i="10"/>
  <c r="J744" i="10"/>
  <c r="I744" i="10"/>
  <c r="H744" i="10"/>
  <c r="G744" i="10"/>
  <c r="I716" i="10"/>
  <c r="H716" i="10"/>
  <c r="G716" i="10"/>
  <c r="J715" i="10"/>
  <c r="I715" i="10"/>
  <c r="H715" i="10"/>
  <c r="G715" i="10"/>
  <c r="I675" i="10"/>
  <c r="H675" i="10"/>
  <c r="G675" i="10"/>
  <c r="J674" i="10"/>
  <c r="I674" i="10"/>
  <c r="H674" i="10"/>
  <c r="G674" i="10"/>
  <c r="I646" i="10"/>
  <c r="H646" i="10"/>
  <c r="G646" i="10"/>
  <c r="J645" i="10"/>
  <c r="I645" i="10"/>
  <c r="H645" i="10"/>
  <c r="G645" i="10"/>
  <c r="J605" i="10"/>
  <c r="I605" i="10"/>
  <c r="H605" i="10"/>
  <c r="G605" i="10"/>
  <c r="J604" i="10"/>
  <c r="I604" i="10"/>
  <c r="H604" i="10"/>
  <c r="G604" i="10"/>
  <c r="J576" i="10"/>
  <c r="I576" i="10"/>
  <c r="H576" i="10"/>
  <c r="G576" i="10"/>
  <c r="J575" i="10"/>
  <c r="I575" i="10"/>
  <c r="H575" i="10"/>
  <c r="G575" i="10"/>
  <c r="J535" i="10"/>
  <c r="I535" i="10"/>
  <c r="H535" i="10"/>
  <c r="G535" i="10"/>
  <c r="J534" i="10"/>
  <c r="I534" i="10"/>
  <c r="H534" i="10"/>
  <c r="G534" i="10"/>
  <c r="J506" i="10"/>
  <c r="I506" i="10"/>
  <c r="H506" i="10"/>
  <c r="G506" i="10"/>
  <c r="J505" i="10"/>
  <c r="I505" i="10"/>
  <c r="H505" i="10"/>
  <c r="G505" i="10"/>
  <c r="J466" i="10"/>
  <c r="I466" i="10"/>
  <c r="H466" i="10"/>
  <c r="G466" i="10"/>
  <c r="J465" i="10"/>
  <c r="I465" i="10"/>
  <c r="H465" i="10"/>
  <c r="G465" i="10"/>
  <c r="J413" i="10"/>
  <c r="I411" i="10"/>
  <c r="J396" i="10"/>
  <c r="I396" i="10"/>
  <c r="H396" i="10"/>
  <c r="G396" i="10"/>
  <c r="J395" i="10"/>
  <c r="I395" i="10"/>
  <c r="H395" i="10"/>
  <c r="G395" i="10"/>
  <c r="I382" i="10"/>
  <c r="J367" i="10"/>
  <c r="I367" i="10"/>
  <c r="H367" i="10"/>
  <c r="G367" i="10"/>
  <c r="J366" i="10"/>
  <c r="I366" i="10"/>
  <c r="H366" i="10"/>
  <c r="G366" i="10"/>
  <c r="J326" i="10"/>
  <c r="I326" i="10"/>
  <c r="H326" i="10"/>
  <c r="G326" i="10"/>
  <c r="J325" i="10"/>
  <c r="I325" i="10"/>
  <c r="H325" i="10"/>
  <c r="G325" i="10"/>
  <c r="I316" i="10"/>
  <c r="J297" i="10"/>
  <c r="I297" i="10"/>
  <c r="H297" i="10"/>
  <c r="G297" i="10"/>
  <c r="J296" i="10"/>
  <c r="I296" i="10"/>
  <c r="H296" i="10"/>
  <c r="G296" i="10"/>
  <c r="I275" i="10"/>
  <c r="J273" i="10"/>
  <c r="I271" i="10"/>
  <c r="H258" i="10"/>
  <c r="J256" i="10"/>
  <c r="I256" i="10"/>
  <c r="H256" i="10"/>
  <c r="G256" i="10"/>
  <c r="J255" i="10"/>
  <c r="I255" i="10"/>
  <c r="H255" i="10"/>
  <c r="G255" i="10"/>
  <c r="I246" i="10"/>
  <c r="G245" i="10"/>
  <c r="G244" i="10"/>
  <c r="I242" i="10"/>
  <c r="I233" i="10"/>
  <c r="J232" i="10"/>
  <c r="H232" i="10"/>
  <c r="G232" i="10"/>
  <c r="I230" i="10"/>
  <c r="I228" i="10"/>
  <c r="J227" i="10"/>
  <c r="I227" i="10"/>
  <c r="H227" i="10"/>
  <c r="G227" i="10"/>
  <c r="J226" i="10"/>
  <c r="I226" i="10"/>
  <c r="H226" i="10"/>
  <c r="G226" i="10"/>
  <c r="I205" i="10"/>
  <c r="G204" i="10"/>
  <c r="J203" i="10"/>
  <c r="G203" i="10"/>
  <c r="I201" i="10"/>
  <c r="I199" i="10"/>
  <c r="H198" i="10"/>
  <c r="I193" i="10"/>
  <c r="J192" i="10"/>
  <c r="I192" i="10"/>
  <c r="J191" i="10"/>
  <c r="H191" i="10"/>
  <c r="G191" i="10"/>
  <c r="I189" i="10"/>
  <c r="H188" i="10"/>
  <c r="I187" i="10"/>
  <c r="J186" i="10"/>
  <c r="I186" i="10"/>
  <c r="H186" i="10"/>
  <c r="G186" i="10"/>
  <c r="J185" i="10"/>
  <c r="J47" i="10" s="1"/>
  <c r="I185" i="10"/>
  <c r="I47" i="10" s="1"/>
  <c r="H185" i="10"/>
  <c r="H47" i="10" s="1"/>
  <c r="G185" i="10"/>
  <c r="G47" i="10" s="1"/>
  <c r="I176" i="10"/>
  <c r="I67" i="10" s="1"/>
  <c r="G175" i="10"/>
  <c r="J174" i="10"/>
  <c r="I174" i="10"/>
  <c r="H174" i="10"/>
  <c r="G174" i="10"/>
  <c r="I172" i="10"/>
  <c r="I170" i="10"/>
  <c r="H169" i="10"/>
  <c r="I164" i="10"/>
  <c r="I163" i="10"/>
  <c r="H163" i="10"/>
  <c r="G163" i="10"/>
  <c r="J162" i="10"/>
  <c r="H162" i="10"/>
  <c r="G162" i="10"/>
  <c r="I160" i="10"/>
  <c r="G160" i="10"/>
  <c r="G51" i="10" s="1"/>
  <c r="I159" i="10"/>
  <c r="H159" i="10"/>
  <c r="G159" i="10"/>
  <c r="J158" i="10"/>
  <c r="I158" i="10"/>
  <c r="H158" i="10"/>
  <c r="G158" i="10"/>
  <c r="J157" i="10"/>
  <c r="I157" i="10"/>
  <c r="H157" i="10"/>
  <c r="G157" i="10"/>
  <c r="J156" i="10"/>
  <c r="I156" i="10"/>
  <c r="H156" i="10"/>
  <c r="G156" i="10"/>
  <c r="I136" i="10"/>
  <c r="J135" i="10"/>
  <c r="I135" i="10"/>
  <c r="G135" i="10"/>
  <c r="J134" i="10"/>
  <c r="H134" i="10"/>
  <c r="G134" i="10"/>
  <c r="G65" i="10" s="1"/>
  <c r="J132" i="10"/>
  <c r="J63" i="10" s="1"/>
  <c r="I132" i="10"/>
  <c r="I63" i="10" s="1"/>
  <c r="H132" i="10"/>
  <c r="H63" i="10" s="1"/>
  <c r="J131" i="10"/>
  <c r="I131" i="10"/>
  <c r="H131" i="10"/>
  <c r="G131" i="10"/>
  <c r="G62" i="10" s="1"/>
  <c r="I130" i="10"/>
  <c r="G130" i="10"/>
  <c r="J129" i="10"/>
  <c r="I129" i="10"/>
  <c r="H129" i="10"/>
  <c r="G129" i="10"/>
  <c r="I128" i="10"/>
  <c r="J126" i="10"/>
  <c r="I126" i="10"/>
  <c r="H126" i="10"/>
  <c r="J125" i="10"/>
  <c r="I125" i="10"/>
  <c r="H125" i="10"/>
  <c r="G125" i="10"/>
  <c r="I124" i="10"/>
  <c r="I55" i="10" s="1"/>
  <c r="G124" i="10"/>
  <c r="I107" i="10"/>
  <c r="J106" i="10"/>
  <c r="J66" i="10" s="1"/>
  <c r="I106" i="10"/>
  <c r="I66" i="10" s="1"/>
  <c r="G106" i="10"/>
  <c r="G66" i="10" s="1"/>
  <c r="J105" i="10"/>
  <c r="J65" i="10" s="1"/>
  <c r="I105" i="10"/>
  <c r="I65" i="10" s="1"/>
  <c r="H105" i="10"/>
  <c r="H65" i="10" s="1"/>
  <c r="G105" i="10"/>
  <c r="J103" i="10"/>
  <c r="I103" i="10"/>
  <c r="H103" i="10"/>
  <c r="J102" i="10"/>
  <c r="I102" i="10"/>
  <c r="H102" i="10"/>
  <c r="G102" i="10"/>
  <c r="I101" i="10"/>
  <c r="I61" i="10" s="1"/>
  <c r="G101" i="10"/>
  <c r="G61" i="10" s="1"/>
  <c r="J100" i="10"/>
  <c r="I100" i="10"/>
  <c r="H100" i="10"/>
  <c r="H60" i="10" s="1"/>
  <c r="G100" i="10"/>
  <c r="G60" i="10" s="1"/>
  <c r="I99" i="10"/>
  <c r="J97" i="10"/>
  <c r="I97" i="10"/>
  <c r="H97" i="10"/>
  <c r="H57" i="10" s="1"/>
  <c r="J96" i="10"/>
  <c r="J56" i="10" s="1"/>
  <c r="I96" i="10"/>
  <c r="I56" i="10" s="1"/>
  <c r="H96" i="10"/>
  <c r="H56" i="10" s="1"/>
  <c r="G96" i="10"/>
  <c r="G56" i="10" s="1"/>
  <c r="I95" i="10"/>
  <c r="G95" i="10"/>
  <c r="J94" i="10"/>
  <c r="I94" i="10"/>
  <c r="H94" i="10"/>
  <c r="G94" i="10"/>
  <c r="J93" i="10"/>
  <c r="J53" i="10" s="1"/>
  <c r="H93" i="10"/>
  <c r="H53" i="10" s="1"/>
  <c r="G93" i="10"/>
  <c r="G53" i="10" s="1"/>
  <c r="I91" i="10"/>
  <c r="I51" i="10" s="1"/>
  <c r="G91" i="10"/>
  <c r="I90" i="10"/>
  <c r="H90" i="10"/>
  <c r="G90" i="10"/>
  <c r="J89" i="10"/>
  <c r="I89" i="10"/>
  <c r="H89" i="10"/>
  <c r="G89" i="10"/>
  <c r="G49" i="10" s="1"/>
  <c r="J88" i="10"/>
  <c r="J48" i="10" s="1"/>
  <c r="I88" i="10"/>
  <c r="I48" i="10" s="1"/>
  <c r="H88" i="10"/>
  <c r="H48" i="10" s="1"/>
  <c r="G88" i="10"/>
  <c r="G48" i="10" s="1"/>
  <c r="J87" i="10"/>
  <c r="I87" i="10"/>
  <c r="H87" i="10"/>
  <c r="G87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H67" i="10"/>
  <c r="G67" i="10"/>
  <c r="F67" i="10"/>
  <c r="E67" i="10"/>
  <c r="H66" i="10"/>
  <c r="F66" i="10"/>
  <c r="E66" i="10"/>
  <c r="F65" i="10"/>
  <c r="E65" i="10"/>
  <c r="G63" i="10"/>
  <c r="F63" i="10"/>
  <c r="E63" i="10"/>
  <c r="J62" i="10"/>
  <c r="I62" i="10"/>
  <c r="H62" i="10"/>
  <c r="F62" i="10"/>
  <c r="E62" i="10"/>
  <c r="J61" i="10"/>
  <c r="H61" i="10"/>
  <c r="F61" i="10"/>
  <c r="E61" i="10"/>
  <c r="J60" i="10"/>
  <c r="I60" i="10"/>
  <c r="F60" i="10"/>
  <c r="E60" i="10"/>
  <c r="J59" i="10"/>
  <c r="I59" i="10"/>
  <c r="H59" i="10"/>
  <c r="G59" i="10"/>
  <c r="F59" i="10"/>
  <c r="E59" i="10"/>
  <c r="J57" i="10"/>
  <c r="I57" i="10"/>
  <c r="G57" i="10"/>
  <c r="F57" i="10"/>
  <c r="E57" i="10"/>
  <c r="F56" i="10"/>
  <c r="E56" i="10"/>
  <c r="J55" i="10"/>
  <c r="H55" i="10"/>
  <c r="G55" i="10"/>
  <c r="F55" i="10"/>
  <c r="E55" i="10"/>
  <c r="J54" i="10"/>
  <c r="I54" i="10"/>
  <c r="H54" i="10"/>
  <c r="G54" i="10"/>
  <c r="F54" i="10"/>
  <c r="E54" i="10"/>
  <c r="I53" i="10"/>
  <c r="F53" i="10"/>
  <c r="E53" i="10"/>
  <c r="J51" i="10"/>
  <c r="H51" i="10"/>
  <c r="F51" i="10"/>
  <c r="E51" i="10"/>
  <c r="J50" i="10"/>
  <c r="I50" i="10"/>
  <c r="H50" i="10"/>
  <c r="G50" i="10"/>
  <c r="F50" i="10"/>
  <c r="E50" i="10"/>
  <c r="J49" i="10"/>
  <c r="I49" i="10"/>
  <c r="H49" i="10"/>
  <c r="F49" i="10"/>
  <c r="E49" i="10"/>
  <c r="F48" i="10"/>
  <c r="E48" i="10"/>
  <c r="F47" i="10"/>
  <c r="E47" i="10"/>
  <c r="J26" i="10"/>
  <c r="I26" i="10"/>
  <c r="H26" i="10"/>
  <c r="G26" i="10"/>
  <c r="F26" i="10"/>
  <c r="E26" i="10"/>
  <c r="L83" i="9"/>
  <c r="L82" i="9"/>
  <c r="F14" i="9"/>
  <c r="D14" i="9" s="1"/>
  <c r="F13" i="9"/>
  <c r="D13" i="9"/>
  <c r="C56" i="8"/>
  <c r="C55" i="8"/>
  <c r="C54" i="8"/>
  <c r="C52" i="8"/>
  <c r="C51" i="8"/>
  <c r="E50" i="8"/>
  <c r="D50" i="8"/>
  <c r="C50" i="8"/>
  <c r="E48" i="8"/>
  <c r="D48" i="8"/>
  <c r="C48" i="8"/>
  <c r="G47" i="8"/>
  <c r="F47" i="8"/>
  <c r="E47" i="8"/>
  <c r="D47" i="8"/>
  <c r="C47" i="8"/>
  <c r="E46" i="8"/>
  <c r="D46" i="8"/>
  <c r="C46" i="8"/>
  <c r="J44" i="8"/>
  <c r="I44" i="8"/>
  <c r="H44" i="8"/>
  <c r="C44" i="8" s="1"/>
  <c r="G44" i="8"/>
  <c r="F44" i="8"/>
  <c r="E44" i="8"/>
  <c r="D44" i="8"/>
  <c r="E43" i="8"/>
  <c r="D43" i="8"/>
  <c r="C43" i="8"/>
  <c r="G42" i="8"/>
  <c r="F42" i="8"/>
  <c r="E42" i="8"/>
  <c r="D42" i="8"/>
  <c r="C42" i="8"/>
  <c r="J40" i="8"/>
  <c r="I40" i="8"/>
  <c r="H40" i="8"/>
  <c r="C40" i="8"/>
  <c r="C39" i="8"/>
  <c r="E38" i="8"/>
  <c r="D38" i="8"/>
  <c r="C38" i="8"/>
  <c r="H31" i="8"/>
  <c r="G31" i="8"/>
  <c r="F31" i="8"/>
  <c r="C31" i="8" s="1"/>
  <c r="D31" i="8"/>
  <c r="C30" i="8"/>
  <c r="C29" i="8"/>
  <c r="C27" i="8"/>
  <c r="C26" i="8"/>
  <c r="C25" i="8"/>
  <c r="C23" i="8"/>
  <c r="C22" i="8"/>
  <c r="C21" i="8"/>
  <c r="C19" i="8"/>
  <c r="C18" i="8"/>
  <c r="C17" i="8"/>
  <c r="C15" i="8"/>
  <c r="C14" i="8"/>
  <c r="F13" i="8"/>
  <c r="D13" i="8"/>
  <c r="C13" i="8"/>
  <c r="J46" i="7"/>
  <c r="I46" i="7"/>
  <c r="H46" i="7"/>
  <c r="G46" i="7"/>
  <c r="F46" i="7"/>
  <c r="E46" i="7"/>
  <c r="D46" i="7"/>
  <c r="J13" i="7"/>
  <c r="I13" i="7"/>
  <c r="H13" i="7"/>
  <c r="G13" i="7"/>
  <c r="F13" i="7"/>
  <c r="E13" i="7"/>
  <c r="D13" i="7"/>
  <c r="J11" i="7"/>
  <c r="I11" i="7"/>
  <c r="H11" i="7"/>
  <c r="G11" i="7"/>
  <c r="F11" i="7"/>
  <c r="E11" i="7"/>
  <c r="D11" i="7"/>
  <c r="J12" i="6"/>
  <c r="I12" i="6"/>
  <c r="H12" i="6"/>
  <c r="G12" i="6"/>
  <c r="F12" i="6"/>
  <c r="E12" i="6"/>
  <c r="D12" i="6"/>
  <c r="I35" i="4"/>
  <c r="F35" i="4"/>
  <c r="C35" i="4"/>
  <c r="I34" i="4"/>
  <c r="F34" i="4"/>
  <c r="C34" i="4"/>
  <c r="I33" i="4"/>
  <c r="F33" i="4"/>
  <c r="C33" i="4"/>
  <c r="I32" i="4"/>
  <c r="F32" i="4"/>
  <c r="C32" i="4"/>
  <c r="I31" i="4"/>
  <c r="F31" i="4"/>
  <c r="C31" i="4"/>
  <c r="I30" i="4"/>
  <c r="F30" i="4"/>
  <c r="C30" i="4"/>
  <c r="I28" i="4"/>
  <c r="F28" i="4"/>
  <c r="C28" i="4"/>
  <c r="I27" i="4"/>
  <c r="F27" i="4"/>
  <c r="C27" i="4"/>
  <c r="I26" i="4"/>
  <c r="F26" i="4"/>
  <c r="C26" i="4"/>
  <c r="I25" i="4"/>
  <c r="F25" i="4"/>
  <c r="C25" i="4"/>
  <c r="I24" i="4"/>
  <c r="F24" i="4"/>
  <c r="C24" i="4"/>
  <c r="I23" i="4"/>
  <c r="F23" i="4"/>
  <c r="C23" i="4"/>
  <c r="K21" i="4"/>
  <c r="J21" i="4"/>
  <c r="H21" i="4"/>
  <c r="G21" i="4"/>
  <c r="I21" i="4" s="1"/>
  <c r="F21" i="4"/>
  <c r="E21" i="4"/>
  <c r="D21" i="4"/>
  <c r="C21" i="4" s="1"/>
  <c r="I20" i="4"/>
  <c r="F20" i="4"/>
  <c r="C20" i="4"/>
  <c r="I19" i="4"/>
  <c r="F19" i="4"/>
  <c r="C19" i="4"/>
  <c r="I18" i="4"/>
  <c r="F18" i="4"/>
  <c r="C18" i="4"/>
  <c r="I17" i="4"/>
  <c r="F17" i="4"/>
  <c r="C17" i="4"/>
  <c r="I15" i="4"/>
  <c r="F15" i="4"/>
  <c r="C15" i="4"/>
  <c r="I14" i="4"/>
  <c r="F14" i="4"/>
  <c r="C14" i="4"/>
  <c r="I13" i="4"/>
  <c r="F13" i="4"/>
  <c r="C13" i="4"/>
</calcChain>
</file>

<file path=xl/sharedStrings.xml><?xml version="1.0" encoding="utf-8"?>
<sst xmlns="http://schemas.openxmlformats.org/spreadsheetml/2006/main" count="1554" uniqueCount="391">
  <si>
    <t>Ｉ-02 生コンクリ－ト</t>
  </si>
  <si>
    <t>生コンクリ－ト</t>
  </si>
  <si>
    <t xml:space="preserve">     ［需要先別出荷数量］</t>
  </si>
  <si>
    <t xml:space="preserve"> 年,月末</t>
  </si>
  <si>
    <t xml:space="preserve"> 出荷量</t>
  </si>
  <si>
    <t xml:space="preserve"> 出荷金額</t>
  </si>
  <si>
    <t xml:space="preserve">  常用</t>
  </si>
  <si>
    <t>総数</t>
  </si>
  <si>
    <t xml:space="preserve"> 土木用</t>
  </si>
  <si>
    <t xml:space="preserve"> 道路</t>
  </si>
  <si>
    <t xml:space="preserve"> その他</t>
  </si>
  <si>
    <t xml:space="preserve"> 建築用</t>
  </si>
  <si>
    <t xml:space="preserve"> 官公需</t>
  </si>
  <si>
    <t xml:space="preserve"> 民需</t>
  </si>
  <si>
    <t xml:space="preserve"> 労働者数</t>
  </si>
  <si>
    <t>千ｍ3</t>
  </si>
  <si>
    <t>百万円</t>
  </si>
  <si>
    <t>人</t>
  </si>
  <si>
    <t>昭和55年1980</t>
  </si>
  <si>
    <t xml:space="preserve">    60  1985</t>
  </si>
  <si>
    <t>平成 2  1990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</si>
  <si>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</si>
  <si>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</si>
  <si>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</si>
  <si>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</si>
  <si>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10  1998</t>
    <phoneticPr fontId="4"/>
  </si>
  <si>
    <t xml:space="preserve">       1月</t>
  </si>
  <si>
    <t>･･･</t>
  </si>
  <si>
    <t xml:space="preserve">       2</t>
  </si>
  <si>
    <t xml:space="preserve">       3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</si>
  <si>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</si>
  <si>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</si>
  <si>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</si>
  <si>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</si>
  <si>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</si>
  <si>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</si>
  <si>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</si>
  <si>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</si>
  <si>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</si>
  <si>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資料：通商産業大臣官房調査統計部「生コンクリ－ト統計年報」</t>
  </si>
  <si>
    <t xml:space="preserve">   Ｉ-03 製造業の従業者規模別事業所数等</t>
  </si>
  <si>
    <t xml:space="preserve">          (従業者４人以上の事業所)</t>
  </si>
  <si>
    <t xml:space="preserve">  事業所数及び従業者数は12月31日現在，その他は年間。「従業者」は常用雇用者，個</t>
  </si>
  <si>
    <t>人事業主及び無給家族従業者の合計。「現金給与総額」は基本給，諸手当，期末賞与，</t>
  </si>
  <si>
    <t>退職金，解雇予告手当等，支給された全ての給与額の合計。「原材料使用額等」は原材</t>
  </si>
  <si>
    <t>料使用額，燃料使用額，電力使用額（除く自家発電）及び委託生産費の合計。「製造品</t>
  </si>
  <si>
    <t>出荷額等」は製造品出荷額，加工賃収入額，修理料収入額，製造工程からでたくず，廃</t>
  </si>
  <si>
    <t>棄物の出荷額及びその他の収入額（冷蔵保管料，据付工事料，広告料及び自家発電の余</t>
  </si>
  <si>
    <t>剰電力販売収入額等）の合計。「付加価値額」＝生産額－原材料使用額等－減価償却額</t>
  </si>
  <si>
    <t>－出荷額に含まれる内国消費税額</t>
  </si>
  <si>
    <t xml:space="preserve">  原材料</t>
  </si>
  <si>
    <t xml:space="preserve">  製造品</t>
  </si>
  <si>
    <t xml:space="preserve"> 注）</t>
  </si>
  <si>
    <t>事業所数</t>
  </si>
  <si>
    <t>従業者数</t>
  </si>
  <si>
    <t>現金給与総額</t>
  </si>
  <si>
    <t xml:space="preserve">  使用額等</t>
  </si>
  <si>
    <t xml:space="preserve">  出荷額等</t>
  </si>
  <si>
    <t xml:space="preserve"> 付加価値額</t>
  </si>
  <si>
    <t xml:space="preserve">     4    1992</t>
  </si>
  <si>
    <t>6    1994</t>
  </si>
  <si>
    <t>7    1995</t>
  </si>
  <si>
    <t>8    1996</t>
  </si>
  <si>
    <t>従業者規模</t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</si>
  <si>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</si>
  <si>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</si>
  <si>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</si>
  <si>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</si>
  <si>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</si>
  <si>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</si>
  <si>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資料：通産省「工業統計表」</t>
  </si>
  <si>
    <t>注）従業者 9人以下は粗付加価値額。</t>
  </si>
  <si>
    <t xml:space="preserve">    Ｉ-04 製造業産業中分類別事業所数等</t>
  </si>
  <si>
    <t>(従業者４人以上の事業所)</t>
  </si>
  <si>
    <t xml:space="preserve">  調査の概要は，I-03 製造業の従業者規模別事業所数等の説明を参照</t>
  </si>
  <si>
    <t>製造業 総数</t>
  </si>
  <si>
    <t xml:space="preserve"> 注1）</t>
  </si>
  <si>
    <t>　百万円</t>
  </si>
  <si>
    <t>昭和53年 1978 注2)</t>
  </si>
  <si>
    <t xml:space="preserve">    54   1979 注2)</t>
  </si>
  <si>
    <t xml:space="preserve">    55   1980 注2)</t>
  </si>
  <si>
    <t xml:space="preserve">    56   1981</t>
  </si>
  <si>
    <t xml:space="preserve">    57   1982</t>
  </si>
  <si>
    <t xml:space="preserve">    58   1983</t>
  </si>
  <si>
    <t xml:space="preserve">    59   1984</t>
  </si>
  <si>
    <t xml:space="preserve">    60   1985</t>
  </si>
  <si>
    <t xml:space="preserve">    61   1986</t>
  </si>
  <si>
    <t xml:space="preserve">    62   1987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</si>
  <si>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</si>
  <si>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</si>
  <si>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</si>
  <si>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</si>
  <si>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</si>
  <si>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</si>
  <si>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</si>
  <si>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</si>
  <si>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</si>
  <si>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9   1997</t>
    <phoneticPr fontId="4"/>
  </si>
  <si>
    <t>注1）従業者 9人以下は粗付加価値額。</t>
  </si>
  <si>
    <t>注2) 昭和55年以前は全事業所。</t>
  </si>
  <si>
    <t>Ｉ-04 製造業産業中分類別事業所数等－続き－</t>
  </si>
  <si>
    <t xml:space="preserve">       (従業者４人以上の事業所)</t>
  </si>
  <si>
    <t>調査の概要は，I-03 の説明を参照</t>
  </si>
  <si>
    <t>食料品（昭和59年以前は，飲料･飼料･たばこ製造業を含む）</t>
  </si>
  <si>
    <t>飲料･飼料･たばこ（昭和60年以降は，日本タバコ産業㈱を含む）</t>
  </si>
  <si>
    <t>注2）昭和55年以前は全事業所。</t>
  </si>
  <si>
    <t>繊維工業</t>
  </si>
  <si>
    <t>衣服･その他繊維製品</t>
  </si>
  <si>
    <t>木材・木製品</t>
  </si>
  <si>
    <t>家具・装備品</t>
  </si>
  <si>
    <t>パルプ・紙・紙加工品</t>
  </si>
  <si>
    <t>出版･印刷･同関連産業</t>
  </si>
  <si>
    <t>化学工業</t>
  </si>
  <si>
    <t xml:space="preserve">    9   1997</t>
    <phoneticPr fontId="4"/>
  </si>
  <si>
    <t>石油製品・石炭製品</t>
  </si>
  <si>
    <t>プラスチック製品</t>
  </si>
  <si>
    <t xml:space="preserve"> 注2）</t>
  </si>
  <si>
    <t>昭和53年 1978 注3)</t>
  </si>
  <si>
    <t xml:space="preserve">    54   1979 注3)</t>
  </si>
  <si>
    <t xml:space="preserve">    55   1980 注3)</t>
  </si>
  <si>
    <t>ゴム製品</t>
  </si>
  <si>
    <t xml:space="preserve">   資料：通産省「工業統計表」</t>
  </si>
  <si>
    <t>注1)昭和60年産業分類改訂で，その他の製造業から分離。</t>
  </si>
  <si>
    <t>注2)従業者 9人以下は粗付加価値額。 注3)昭和55年以前は全事業所。</t>
  </si>
  <si>
    <t>なめし革･同製品･毛皮</t>
  </si>
  <si>
    <t>窯業・土石製品</t>
  </si>
  <si>
    <t>鉄鋼業</t>
  </si>
  <si>
    <t>非鉄金属</t>
  </si>
  <si>
    <t>金属製品</t>
  </si>
  <si>
    <t>一般機械器具</t>
  </si>
  <si>
    <t xml:space="preserve">    9   1997</t>
    <phoneticPr fontId="4"/>
  </si>
  <si>
    <t>電気機械器具</t>
  </si>
  <si>
    <t>輸送用機械器具</t>
  </si>
  <si>
    <t>精密機械器具</t>
  </si>
  <si>
    <t xml:space="preserve">    その他の製造（昭和59年以前は，プラスチック製品製造業を含む）</t>
  </si>
  <si>
    <t>Ｉ-05 市町村別製造業事業所数等</t>
  </si>
  <si>
    <t xml:space="preserve">    （従業者４人以上の事業所）</t>
  </si>
  <si>
    <t xml:space="preserve">        注）従業者10人以上の事業所。</t>
  </si>
  <si>
    <t xml:space="preserve"> 事業所数</t>
  </si>
  <si>
    <t xml:space="preserve"> 従業者数</t>
  </si>
  <si>
    <t>原材料</t>
  </si>
  <si>
    <t>製造品</t>
  </si>
  <si>
    <t>粗付加価値額</t>
  </si>
  <si>
    <t>有形固定資産</t>
  </si>
  <si>
    <t xml:space="preserve">   出荷額等</t>
  </si>
  <si>
    <t xml:space="preserve">  年末現在高</t>
  </si>
  <si>
    <t xml:space="preserve"> 平成 9年 1997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</si>
  <si>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</si>
  <si>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</si>
  <si>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</si>
  <si>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</si>
  <si>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</si>
  <si>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</si>
  <si>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</si>
  <si>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</si>
  <si>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</si>
  <si>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</si>
  <si>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</si>
  <si>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</si>
  <si>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</si>
  <si>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</si>
  <si>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</si>
  <si>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</si>
  <si>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</si>
  <si>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</si>
  <si>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</si>
  <si>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</si>
  <si>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</si>
  <si>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>X</t>
    <phoneticPr fontId="4"/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</si>
  <si>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</si>
  <si>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</si>
  <si>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</si>
  <si>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</si>
  <si>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</si>
  <si>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</si>
  <si>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</si>
  <si>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</si>
  <si>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</si>
  <si>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</si>
  <si>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</si>
  <si>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</si>
  <si>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</si>
  <si>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</si>
  <si>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</si>
  <si>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</si>
  <si>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</si>
  <si>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</si>
  <si>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</si>
  <si>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</si>
  <si>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</si>
  <si>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</si>
  <si>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</si>
  <si>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</si>
  <si>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</si>
  <si>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</si>
  <si>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</si>
  <si>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</si>
  <si>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</si>
  <si>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－</t>
    <phoneticPr fontId="4"/>
  </si>
  <si>
    <t>資料：通産省「工業統計表」   調査の概要は,３.製造業の従業者規模別事業所数等を参照。</t>
  </si>
  <si>
    <t>Ｉ-06 主要薬効分類別医薬品・医薬部外品の生産額</t>
  </si>
  <si>
    <t xml:space="preserve"> </t>
  </si>
  <si>
    <t xml:space="preserve">       単位：百万円</t>
  </si>
  <si>
    <t xml:space="preserve"> 1980</t>
  </si>
  <si>
    <t xml:space="preserve"> 1985</t>
  </si>
  <si>
    <t xml:space="preserve"> 1990</t>
  </si>
  <si>
    <t xml:space="preserve"> 1994</t>
  </si>
  <si>
    <t xml:space="preserve"> 1995</t>
  </si>
  <si>
    <t xml:space="preserve"> 1996</t>
  </si>
  <si>
    <t xml:space="preserve"> 1997</t>
  </si>
  <si>
    <t>　</t>
  </si>
  <si>
    <t xml:space="preserve"> 昭和55年</t>
  </si>
  <si>
    <t xml:space="preserve"> 昭和60年</t>
  </si>
  <si>
    <t xml:space="preserve"> 平成 2年</t>
  </si>
  <si>
    <t xml:space="preserve"> 平成 6年</t>
  </si>
  <si>
    <t xml:space="preserve"> 平成 7年</t>
  </si>
  <si>
    <t xml:space="preserve"> 平成 8年</t>
  </si>
  <si>
    <t xml:space="preserve"> 平成 9年</t>
  </si>
  <si>
    <t>　　総   数</t>
  </si>
  <si>
    <t>医薬品</t>
  </si>
  <si>
    <t>中枢神経系用薬</t>
  </si>
  <si>
    <t>末梢神経系用薬</t>
  </si>
  <si>
    <t>感覚器官用薬</t>
  </si>
  <si>
    <t>アレルギー用薬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</si>
  <si>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</si>
  <si>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</si>
  <si>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</si>
  <si>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</si>
  <si>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</si>
  <si>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</si>
  <si>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</si>
  <si>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</si>
  <si>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血液及び体液用薬</t>
  </si>
  <si>
    <t>人工唾潅用薬（注1）</t>
  </si>
  <si>
    <t>その他の代謝性医薬品</t>
  </si>
  <si>
    <t>腫瘍用薬</t>
  </si>
  <si>
    <t>漢方製剤</t>
  </si>
  <si>
    <t>生物学的製剤</t>
  </si>
  <si>
    <t>寄生動物用薬</t>
  </si>
  <si>
    <t>調剤用薬</t>
  </si>
  <si>
    <t>公衆衛生用薬</t>
  </si>
  <si>
    <t>その他（注2）</t>
  </si>
  <si>
    <t>その他</t>
  </si>
  <si>
    <t>医薬部外品</t>
  </si>
  <si>
    <t>薬用化粧品</t>
  </si>
  <si>
    <t>毛髪用剤</t>
  </si>
  <si>
    <t>浴用剤</t>
  </si>
  <si>
    <t>てんか粉剤</t>
  </si>
  <si>
    <t>腋臭防止剤</t>
  </si>
  <si>
    <t>防虫剤</t>
  </si>
  <si>
    <t>殺虫剤</t>
  </si>
  <si>
    <t xml:space="preserve">    うち蚊取線香</t>
  </si>
  <si>
    <t xml:space="preserve">    うち電気蚊取</t>
  </si>
  <si>
    <t>殺ソ剤</t>
  </si>
  <si>
    <t>薬用歯みがき剤</t>
  </si>
  <si>
    <t>注１）昭和55､60年は、「その他の個々の器官系用薬」の数値である。</t>
  </si>
  <si>
    <t>注２）その他の治療を主目的としない医薬品</t>
  </si>
  <si>
    <t>資料：薬務課「薬務事業概要」</t>
  </si>
  <si>
    <t>Ｉ-07 酒類製成及び消費量</t>
  </si>
  <si>
    <t xml:space="preserve">         単位：kl</t>
    <phoneticPr fontId="4"/>
  </si>
  <si>
    <t xml:space="preserve"> 製成数量</t>
  </si>
  <si>
    <t xml:space="preserve">   総数</t>
  </si>
  <si>
    <t>しょう</t>
    <phoneticPr fontId="4"/>
  </si>
  <si>
    <t>注)</t>
  </si>
  <si>
    <t xml:space="preserve">  清  酒</t>
  </si>
  <si>
    <t>合成清酒</t>
    <phoneticPr fontId="4"/>
  </si>
  <si>
    <t>ちゅう</t>
    <phoneticPr fontId="4"/>
  </si>
  <si>
    <t>みりん</t>
  </si>
  <si>
    <t>ビ－ル</t>
  </si>
  <si>
    <t xml:space="preserve"> 果実酒類</t>
  </si>
  <si>
    <t xml:space="preserve"> ｳｲｽｷ-類</t>
  </si>
  <si>
    <t>昭和50年度1975</t>
  </si>
  <si>
    <t>　　55　  1980</t>
  </si>
  <si>
    <t>　　60　  1985</t>
  </si>
  <si>
    <t>　　61    1986</t>
  </si>
  <si>
    <t>　　62  　1987</t>
  </si>
  <si>
    <t>　　63    1988</t>
  </si>
  <si>
    <t>平成元　  1989</t>
  </si>
  <si>
    <t>　　 2    1990</t>
  </si>
  <si>
    <t>　　 3　  1991</t>
  </si>
  <si>
    <t>　　 4　  1992</t>
  </si>
  <si>
    <t>　　 5 　 1993</t>
  </si>
  <si>
    <t>　　 6 　 1994</t>
  </si>
  <si>
    <t>　　 7 　 1995</t>
  </si>
  <si>
    <t>　　 8 　 1996</t>
  </si>
  <si>
    <t xml:space="preserve"> 　 9 　 1997</t>
    <phoneticPr fontId="4"/>
  </si>
  <si>
    <t xml:space="preserve"> 販売（消費）数量</t>
  </si>
  <si>
    <t>　 総数</t>
  </si>
  <si>
    <t>　  9 　 1997</t>
    <phoneticPr fontId="4"/>
  </si>
  <si>
    <t>資料：国税庁「国税庁統計年報書」</t>
  </si>
  <si>
    <t>注)スピリッツ類,リキュ－ル類,雑酒</t>
  </si>
  <si>
    <t>Ｉ-08 鉱工業生産指数</t>
  </si>
  <si>
    <t xml:space="preserve">        平成 7年(1995)=100</t>
  </si>
  <si>
    <t xml:space="preserve"> 産業総合 </t>
  </si>
  <si>
    <t xml:space="preserve"> 公益事業</t>
  </si>
  <si>
    <t xml:space="preserve"> 製造工業</t>
  </si>
  <si>
    <t xml:space="preserve"> 非鉄金</t>
  </si>
  <si>
    <t xml:space="preserve"> 金属製</t>
  </si>
  <si>
    <t xml:space="preserve"> 一般機</t>
  </si>
  <si>
    <t xml:space="preserve"> 電気機</t>
  </si>
  <si>
    <t xml:space="preserve"> 精密機</t>
  </si>
  <si>
    <t>鉄鋼業</t>
    <phoneticPr fontId="4"/>
  </si>
  <si>
    <t xml:space="preserve"> 属工業</t>
  </si>
  <si>
    <t xml:space="preserve"> 品工業</t>
  </si>
  <si>
    <t xml:space="preserve"> 械工業</t>
  </si>
  <si>
    <t>　品 目 数</t>
  </si>
  <si>
    <t>　 ｳ ｴ ｲ ﾄ</t>
  </si>
  <si>
    <t>［暦年］</t>
  </si>
  <si>
    <t xml:space="preserve"> 平成 4年 1992</t>
  </si>
  <si>
    <t xml:space="preserve">    －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</si>
  <si>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</si>
  <si>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</si>
  <si>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</si>
  <si>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</si>
  <si>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</si>
  <si>
    <t xml:space="preserve">    10   1998</t>
    <phoneticPr fontId="4"/>
  </si>
  <si>
    <t>［年度］</t>
  </si>
  <si>
    <t>平成 4年度1992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</si>
  <si>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</si>
  <si>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</si>
  <si>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</si>
  <si>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</si>
  <si>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9    1997</t>
    <phoneticPr fontId="4"/>
  </si>
  <si>
    <t>［原指数］</t>
  </si>
  <si>
    <t xml:space="preserve">    1998年 1月</t>
  </si>
  <si>
    <t>－</t>
  </si>
  <si>
    <t xml:space="preserve">    2</t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</si>
  <si>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</si>
  <si>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</si>
  <si>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</si>
  <si>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</si>
  <si>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</si>
  <si>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</si>
  <si>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</si>
  <si>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 xml:space="preserve">   10</t>
  </si>
  <si>
    <t xml:space="preserve">   11</t>
  </si>
  <si>
    <t xml:space="preserve">   12</t>
  </si>
  <si>
    <t xml:space="preserve">    ［季節調整済指数］</t>
  </si>
  <si>
    <t>資料：県統計課「和歌山県鉱工業生産指数」</t>
  </si>
  <si>
    <t>Ｉ-08 鉱工業生産指数－続き－</t>
  </si>
  <si>
    <t>製造工業－続き－</t>
  </si>
  <si>
    <t>《参考》</t>
  </si>
  <si>
    <t xml:space="preserve"> 窯業･土石</t>
  </si>
  <si>
    <t>石油･石炭</t>
  </si>
  <si>
    <t>ﾌﾟﾗｽﾁｯｸ</t>
  </si>
  <si>
    <t>ﾊﾟﾙﾌﾟ･紙･</t>
  </si>
  <si>
    <t>食料品･た</t>
  </si>
  <si>
    <t xml:space="preserve"> 機械工業</t>
  </si>
  <si>
    <t xml:space="preserve"> 製品工業</t>
  </si>
  <si>
    <t xml:space="preserve"> 化学工業</t>
  </si>
  <si>
    <t xml:space="preserve"> 紙加工品</t>
  </si>
  <si>
    <t xml:space="preserve"> 繊維工業</t>
  </si>
  <si>
    <t xml:space="preserve"> ばこ工業</t>
  </si>
  <si>
    <t xml:space="preserve"> 工業</t>
  </si>
  <si>
    <t>平成  3年  1991</t>
    <phoneticPr fontId="4"/>
  </si>
  <si>
    <t>4    1992</t>
    <phoneticPr fontId="4"/>
  </si>
  <si>
    <t>5    1993</t>
    <phoneticPr fontId="4"/>
  </si>
  <si>
    <t>9   1997</t>
    <phoneticPr fontId="4"/>
  </si>
  <si>
    <t xml:space="preserve">    9   1997</t>
    <phoneticPr fontId="4"/>
  </si>
  <si>
    <t xml:space="preserve">    9   1997</t>
    <phoneticPr fontId="4"/>
  </si>
  <si>
    <t>－</t>
    <phoneticPr fontId="4"/>
  </si>
  <si>
    <t xml:space="preserve">    9   1997</t>
    <phoneticPr fontId="4"/>
  </si>
  <si>
    <t>平成元   1989</t>
    <phoneticPr fontId="4"/>
  </si>
  <si>
    <t xml:space="preserve">    9   1997</t>
    <phoneticPr fontId="4"/>
  </si>
  <si>
    <t xml:space="preserve">    9   1997</t>
    <phoneticPr fontId="4"/>
  </si>
  <si>
    <t xml:space="preserve">    9   1997</t>
    <phoneticPr fontId="4"/>
  </si>
  <si>
    <t>－</t>
    <phoneticPr fontId="4"/>
  </si>
  <si>
    <t xml:space="preserve">    9   1997</t>
    <phoneticPr fontId="4"/>
  </si>
  <si>
    <t xml:space="preserve">    9   1997</t>
    <phoneticPr fontId="4"/>
  </si>
  <si>
    <t xml:space="preserve">    9   1997</t>
    <phoneticPr fontId="4"/>
  </si>
  <si>
    <t>X</t>
    <phoneticPr fontId="4"/>
  </si>
  <si>
    <t xml:space="preserve">    9   1997</t>
    <phoneticPr fontId="4"/>
  </si>
  <si>
    <t xml:space="preserve">    9   1997</t>
    <phoneticPr fontId="4"/>
  </si>
  <si>
    <t>X</t>
    <phoneticPr fontId="4"/>
  </si>
  <si>
    <t xml:space="preserve">   Ｉ-01 砕石生産量，出荷量</t>
  </si>
  <si>
    <t>調査の対象範囲は，砕石法及び鉱業法に定められた鉱物のうち，石灰石，</t>
  </si>
  <si>
    <t>けい石，ドロマイトを砕石し，これを砕石している事業所。砂利採取法の</t>
  </si>
  <si>
    <t>砂利及び鉱業法・鉱山保安法の鉱さいを取り扱う事業所は含まない。</t>
  </si>
  <si>
    <t xml:space="preserve">          単位：千ﾄﾝ</t>
    <phoneticPr fontId="4"/>
  </si>
  <si>
    <t xml:space="preserve">   砕石出荷量    ［出荷先府県別］</t>
  </si>
  <si>
    <t xml:space="preserve">   砕石生産量     ［用途別］</t>
  </si>
  <si>
    <t xml:space="preserve"> 総数</t>
  </si>
  <si>
    <t xml:space="preserve"> 県内</t>
  </si>
  <si>
    <t xml:space="preserve"> 大阪府</t>
  </si>
  <si>
    <t xml:space="preserve"> 奈良県</t>
  </si>
  <si>
    <t xml:space="preserve"> 道路用</t>
  </si>
  <si>
    <t>ｺﾝｸﾘ-ﾄ用</t>
  </si>
  <si>
    <t xml:space="preserve">  ┐</t>
    <phoneticPr fontId="4"/>
  </si>
  <si>
    <t xml:space="preserve">  ├    8</t>
    <phoneticPr fontId="4"/>
  </si>
  <si>
    <t xml:space="preserve">  ┘</t>
    <phoneticPr fontId="4"/>
  </si>
  <si>
    <t>資料：通商産業大臣官房調査統計部「砕石統計年報」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</si>
</sst>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9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0" xfId="1" applyFont="1" applyBorder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176" fontId="1" fillId="0" borderId="4" xfId="1" applyNumberFormat="1" applyFont="1" applyBorder="1" applyProtection="1"/>
    <xf numFmtId="176" fontId="1" fillId="0" borderId="0" xfId="1" applyNumberFormat="1" applyFont="1" applyProtection="1">
      <protection locked="0"/>
    </xf>
    <xf numFmtId="176" fontId="1" fillId="0" borderId="0" xfId="1" applyNumberFormat="1" applyFont="1" applyProtection="1"/>
    <xf numFmtId="37" fontId="1" fillId="0" borderId="0" xfId="1" applyFont="1" applyProtection="1">
      <protection locked="0"/>
    </xf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 applyBorder="1" applyProtection="1">
      <protection locked="0"/>
    </xf>
    <xf numFmtId="176" fontId="1" fillId="0" borderId="0" xfId="1" applyNumberFormat="1" applyFont="1" applyBorder="1" applyProtection="1"/>
    <xf numFmtId="37" fontId="1" fillId="0" borderId="0" xfId="1" applyFont="1" applyBorder="1" applyProtection="1">
      <protection locked="0"/>
    </xf>
    <xf numFmtId="37" fontId="1" fillId="0" borderId="0" xfId="1" applyNumberFormat="1" applyFont="1" applyBorder="1" applyProtection="1">
      <protection locked="0"/>
    </xf>
    <xf numFmtId="37" fontId="3" fillId="0" borderId="0" xfId="1" applyFont="1" applyBorder="1" applyAlignment="1" applyProtection="1">
      <alignment horizontal="left"/>
    </xf>
    <xf numFmtId="176" fontId="3" fillId="0" borderId="4" xfId="1" applyNumberFormat="1" applyFont="1" applyBorder="1" applyProtection="1"/>
    <xf numFmtId="176" fontId="3" fillId="0" borderId="0" xfId="1" applyNumberFormat="1" applyFont="1" applyBorder="1" applyProtection="1"/>
    <xf numFmtId="37" fontId="3" fillId="0" borderId="0" xfId="1" applyNumberFormat="1" applyFont="1" applyBorder="1" applyProtection="1"/>
    <xf numFmtId="37" fontId="1" fillId="0" borderId="0" xfId="1" applyFont="1" applyBorder="1" applyAlignment="1" applyProtection="1">
      <alignment horizontal="right"/>
      <protection locked="0"/>
    </xf>
    <xf numFmtId="177" fontId="1" fillId="0" borderId="0" xfId="1" applyNumberFormat="1" applyFont="1" applyBorder="1" applyProtection="1">
      <protection locked="0"/>
    </xf>
    <xf numFmtId="37" fontId="3" fillId="0" borderId="1" xfId="1" applyFont="1" applyBorder="1" applyProtection="1"/>
    <xf numFmtId="176" fontId="1" fillId="0" borderId="5" xfId="1" applyNumberFormat="1" applyFont="1" applyBorder="1" applyProtection="1"/>
    <xf numFmtId="176" fontId="1" fillId="0" borderId="1" xfId="1" applyNumberFormat="1" applyFont="1" applyBorder="1" applyProtection="1"/>
    <xf numFmtId="37" fontId="3" fillId="0" borderId="0" xfId="1" applyFont="1" applyProtection="1"/>
    <xf numFmtId="37" fontId="1" fillId="0" borderId="1" xfId="1" applyFont="1" applyBorder="1" applyAlignment="1" applyProtection="1">
      <alignment horizontal="left"/>
    </xf>
    <xf numFmtId="37" fontId="1" fillId="0" borderId="4" xfId="1" applyFont="1" applyBorder="1" applyProtection="1">
      <protection locked="0"/>
    </xf>
    <xf numFmtId="37" fontId="3" fillId="0" borderId="4" xfId="1" applyFont="1" applyBorder="1" applyProtection="1"/>
    <xf numFmtId="37" fontId="1" fillId="0" borderId="5" xfId="1" applyFont="1" applyBorder="1"/>
    <xf numFmtId="37" fontId="3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4" xfId="1" applyFont="1" applyBorder="1" applyProtection="1"/>
    <xf numFmtId="37" fontId="1" fillId="0" borderId="0" xfId="1" applyFont="1" applyProtection="1"/>
    <xf numFmtId="37" fontId="1" fillId="0" borderId="4" xfId="1" applyNumberFormat="1" applyFont="1" applyBorder="1" applyProtection="1"/>
    <xf numFmtId="37" fontId="1" fillId="0" borderId="0" xfId="1" applyNumberFormat="1" applyFont="1" applyProtection="1"/>
    <xf numFmtId="37" fontId="3" fillId="0" borderId="4" xfId="1" applyNumberFormat="1" applyFont="1" applyBorder="1" applyProtection="1"/>
    <xf numFmtId="37" fontId="3" fillId="0" borderId="0" xfId="1" applyNumberFormat="1" applyFont="1" applyProtection="1"/>
    <xf numFmtId="39" fontId="1" fillId="0" borderId="5" xfId="1" applyNumberFormat="1" applyFont="1" applyBorder="1" applyProtection="1"/>
    <xf numFmtId="39" fontId="1" fillId="0" borderId="1" xfId="1" applyNumberFormat="1" applyFont="1" applyBorder="1" applyProtection="1"/>
    <xf numFmtId="37" fontId="1" fillId="0" borderId="1" xfId="1" applyNumberFormat="1" applyFont="1" applyBorder="1" applyProtection="1"/>
    <xf numFmtId="37" fontId="3" fillId="0" borderId="4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37" fontId="3" fillId="0" borderId="0" xfId="1" applyFont="1" applyBorder="1" applyProtection="1"/>
    <xf numFmtId="37" fontId="1" fillId="0" borderId="1" xfId="1" applyFont="1" applyBorder="1" applyProtection="1">
      <protection locked="0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1" xfId="2" applyFont="1" applyBorder="1" applyAlignment="1" applyProtection="1">
      <alignment horizontal="left"/>
    </xf>
    <xf numFmtId="176" fontId="1" fillId="0" borderId="4" xfId="2" applyFont="1" applyBorder="1"/>
    <xf numFmtId="176" fontId="1" fillId="0" borderId="3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0" xfId="2" applyFont="1" applyBorder="1"/>
    <xf numFmtId="176" fontId="1" fillId="0" borderId="2" xfId="2" applyFont="1" applyBorder="1"/>
    <xf numFmtId="176" fontId="1" fillId="0" borderId="2" xfId="2" applyFont="1" applyBorder="1" applyAlignment="1" applyProtection="1">
      <alignment horizontal="center"/>
    </xf>
    <xf numFmtId="176" fontId="1" fillId="0" borderId="2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37" fontId="1" fillId="0" borderId="2" xfId="2" applyNumberFormat="1" applyFont="1" applyBorder="1" applyProtection="1"/>
    <xf numFmtId="37" fontId="1" fillId="0" borderId="3" xfId="2" applyNumberFormat="1" applyFont="1" applyBorder="1" applyProtection="1">
      <protection locked="0"/>
    </xf>
    <xf numFmtId="37" fontId="1" fillId="0" borderId="3" xfId="2" applyNumberFormat="1" applyFont="1" applyBorder="1" applyProtection="1"/>
    <xf numFmtId="176" fontId="1" fillId="0" borderId="2" xfId="2" applyFont="1" applyBorder="1" applyProtection="1"/>
    <xf numFmtId="176" fontId="1" fillId="0" borderId="3" xfId="2" applyFont="1" applyBorder="1" applyProtection="1">
      <protection locked="0"/>
    </xf>
    <xf numFmtId="176" fontId="1" fillId="0" borderId="3" xfId="2" applyFont="1" applyBorder="1" applyProtection="1"/>
    <xf numFmtId="176" fontId="1" fillId="0" borderId="4" xfId="2" applyFont="1" applyBorder="1" applyProtection="1">
      <protection locked="0"/>
    </xf>
    <xf numFmtId="176" fontId="1" fillId="0" borderId="0" xfId="2" applyFont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1" fillId="0" borderId="0" xfId="2" applyFont="1" applyAlignment="1">
      <alignment horizontal="right"/>
    </xf>
    <xf numFmtId="176" fontId="3" fillId="0" borderId="0" xfId="2" applyFont="1" applyProtection="1"/>
    <xf numFmtId="176" fontId="3" fillId="0" borderId="4" xfId="2" applyFont="1" applyBorder="1" applyProtection="1">
      <protection locked="0"/>
    </xf>
    <xf numFmtId="176" fontId="3" fillId="0" borderId="0" xfId="2" applyFont="1" applyProtection="1">
      <protection locked="0"/>
    </xf>
    <xf numFmtId="176" fontId="1" fillId="0" borderId="0" xfId="2" applyFont="1" applyAlignment="1" applyProtection="1">
      <alignment horizontal="right"/>
    </xf>
    <xf numFmtId="176" fontId="1" fillId="0" borderId="0" xfId="2" applyNumberFormat="1" applyFont="1" applyAlignment="1" applyProtection="1">
      <alignment horizontal="right"/>
    </xf>
    <xf numFmtId="176" fontId="3" fillId="0" borderId="1" xfId="2" applyFont="1" applyBorder="1" applyProtection="1"/>
    <xf numFmtId="176" fontId="1" fillId="0" borderId="5" xfId="2" applyFont="1" applyBorder="1" applyProtection="1">
      <protection locked="0"/>
    </xf>
    <xf numFmtId="176" fontId="1" fillId="0" borderId="1" xfId="2" applyFont="1" applyBorder="1" applyProtection="1">
      <protection locked="0"/>
    </xf>
    <xf numFmtId="176" fontId="1" fillId="0" borderId="4" xfId="2" applyFont="1" applyBorder="1" applyAlignment="1" applyProtection="1">
      <alignment horizontal="center"/>
    </xf>
    <xf numFmtId="37" fontId="1" fillId="0" borderId="2" xfId="2" applyNumberFormat="1" applyFont="1" applyBorder="1" applyProtection="1">
      <protection locked="0"/>
    </xf>
    <xf numFmtId="177" fontId="1" fillId="0" borderId="2" xfId="2" applyNumberFormat="1" applyFont="1" applyBorder="1" applyProtection="1">
      <protection locked="0"/>
    </xf>
    <xf numFmtId="177" fontId="1" fillId="0" borderId="3" xfId="2" applyNumberFormat="1" applyFont="1" applyBorder="1" applyProtection="1">
      <protection locked="0"/>
    </xf>
    <xf numFmtId="37" fontId="1" fillId="0" borderId="0" xfId="1" applyFont="1" applyAlignment="1">
      <alignment horizontal="right"/>
    </xf>
    <xf numFmtId="37" fontId="1" fillId="0" borderId="4" xfId="1" applyFont="1" applyBorder="1" applyAlignment="1">
      <alignment horizontal="left"/>
    </xf>
    <xf numFmtId="37" fontId="1" fillId="0" borderId="4" xfId="1" applyFont="1" applyBorder="1" applyAlignment="1" applyProtection="1">
      <alignment horizontal="left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37"/>
  <sheetViews>
    <sheetView showGridLines="0" tabSelected="1" zoomScale="75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7" width="12.125" style="2"/>
    <col min="8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3" width="12.125" style="2"/>
    <col min="264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19" width="12.125" style="2"/>
    <col min="520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5" width="12.125" style="2"/>
    <col min="776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1" width="12.125" style="2"/>
    <col min="1032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7" width="12.125" style="2"/>
    <col min="1288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3" width="12.125" style="2"/>
    <col min="1544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799" width="12.125" style="2"/>
    <col min="1800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5" width="12.125" style="2"/>
    <col min="2056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1" width="12.125" style="2"/>
    <col min="2312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7" width="12.125" style="2"/>
    <col min="2568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3" width="12.125" style="2"/>
    <col min="2824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79" width="12.125" style="2"/>
    <col min="3080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5" width="12.125" style="2"/>
    <col min="3336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1" width="12.125" style="2"/>
    <col min="3592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7" width="12.125" style="2"/>
    <col min="3848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3" width="12.125" style="2"/>
    <col min="4104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59" width="12.125" style="2"/>
    <col min="4360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5" width="12.125" style="2"/>
    <col min="4616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1" width="12.125" style="2"/>
    <col min="4872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7" width="12.125" style="2"/>
    <col min="5128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3" width="12.125" style="2"/>
    <col min="5384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39" width="12.125" style="2"/>
    <col min="5640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5" width="12.125" style="2"/>
    <col min="5896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1" width="12.125" style="2"/>
    <col min="6152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7" width="12.125" style="2"/>
    <col min="6408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3" width="12.125" style="2"/>
    <col min="6664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19" width="12.125" style="2"/>
    <col min="6920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5" width="12.125" style="2"/>
    <col min="7176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1" width="12.125" style="2"/>
    <col min="7432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7" width="12.125" style="2"/>
    <col min="7688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3" width="12.125" style="2"/>
    <col min="7944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199" width="12.125" style="2"/>
    <col min="8200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5" width="12.125" style="2"/>
    <col min="8456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1" width="12.125" style="2"/>
    <col min="8712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7" width="12.125" style="2"/>
    <col min="8968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3" width="12.125" style="2"/>
    <col min="9224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79" width="12.125" style="2"/>
    <col min="9480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5" width="12.125" style="2"/>
    <col min="9736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1" width="12.125" style="2"/>
    <col min="9992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7" width="12.125" style="2"/>
    <col min="10248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3" width="12.125" style="2"/>
    <col min="10504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59" width="12.125" style="2"/>
    <col min="10760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5" width="12.125" style="2"/>
    <col min="11016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1" width="12.125" style="2"/>
    <col min="11272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7" width="12.125" style="2"/>
    <col min="11528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3" width="12.125" style="2"/>
    <col min="11784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39" width="12.125" style="2"/>
    <col min="12040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5" width="12.125" style="2"/>
    <col min="12296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1" width="12.125" style="2"/>
    <col min="12552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7" width="12.125" style="2"/>
    <col min="12808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3" width="12.125" style="2"/>
    <col min="13064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19" width="12.125" style="2"/>
    <col min="13320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5" width="12.125" style="2"/>
    <col min="13576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1" width="12.125" style="2"/>
    <col min="13832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7" width="12.125" style="2"/>
    <col min="14088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3" width="12.125" style="2"/>
    <col min="14344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599" width="12.125" style="2"/>
    <col min="14600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5" width="12.125" style="2"/>
    <col min="14856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1" width="12.125" style="2"/>
    <col min="15112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7" width="12.125" style="2"/>
    <col min="15368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3" width="12.125" style="2"/>
    <col min="15624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79" width="12.125" style="2"/>
    <col min="15880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5" width="12.125" style="2"/>
    <col min="16136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9" x14ac:dyDescent="0.2">
      <c r="A1" s="1"/>
    </row>
    <row r="6" spans="1:19" x14ac:dyDescent="0.2">
      <c r="E6" s="4" t="s">
        <v>374</v>
      </c>
    </row>
    <row r="7" spans="1:19" x14ac:dyDescent="0.2">
      <c r="C7" s="1" t="s">
        <v>375</v>
      </c>
    </row>
    <row r="8" spans="1:19" x14ac:dyDescent="0.2">
      <c r="C8" s="1" t="s">
        <v>376</v>
      </c>
    </row>
    <row r="9" spans="1:19" ht="18" thickBot="1" x14ac:dyDescent="0.25">
      <c r="B9" s="5"/>
      <c r="C9" s="35" t="s">
        <v>377</v>
      </c>
      <c r="D9" s="5"/>
      <c r="E9" s="5"/>
      <c r="F9" s="5"/>
      <c r="G9" s="5"/>
      <c r="H9" s="5"/>
      <c r="I9" s="5"/>
      <c r="J9" s="35" t="s">
        <v>378</v>
      </c>
      <c r="K9" s="5"/>
      <c r="L9" s="3"/>
      <c r="M9" s="3"/>
      <c r="N9" s="3"/>
      <c r="O9" s="3"/>
      <c r="P9" s="3"/>
      <c r="Q9" s="3"/>
      <c r="R9" s="3"/>
    </row>
    <row r="10" spans="1:19" x14ac:dyDescent="0.2">
      <c r="B10" s="95"/>
      <c r="C10" s="10" t="s">
        <v>379</v>
      </c>
      <c r="D10" s="7"/>
      <c r="E10" s="7"/>
      <c r="F10" s="7"/>
      <c r="G10" s="96"/>
      <c r="H10" s="10" t="s">
        <v>380</v>
      </c>
      <c r="I10" s="7"/>
      <c r="J10" s="7"/>
      <c r="K10" s="7"/>
      <c r="S10" s="3"/>
    </row>
    <row r="11" spans="1:19" x14ac:dyDescent="0.2">
      <c r="B11" s="7"/>
      <c r="C11" s="12" t="s">
        <v>381</v>
      </c>
      <c r="D11" s="12" t="s">
        <v>382</v>
      </c>
      <c r="E11" s="12" t="s">
        <v>383</v>
      </c>
      <c r="F11" s="12" t="s">
        <v>384</v>
      </c>
      <c r="G11" s="12" t="s">
        <v>138</v>
      </c>
      <c r="H11" s="12" t="s">
        <v>381</v>
      </c>
      <c r="I11" s="12" t="s">
        <v>385</v>
      </c>
      <c r="J11" s="12" t="s">
        <v>386</v>
      </c>
      <c r="K11" s="12" t="s">
        <v>242</v>
      </c>
      <c r="S11" s="3"/>
    </row>
    <row r="12" spans="1:19" x14ac:dyDescent="0.2">
      <c r="C12" s="9"/>
      <c r="G12" s="9"/>
    </row>
    <row r="13" spans="1:19" x14ac:dyDescent="0.2">
      <c r="B13" s="1" t="s">
        <v>18</v>
      </c>
      <c r="C13" s="41">
        <f>D13+E13+F13</f>
        <v>3190</v>
      </c>
      <c r="D13" s="19">
        <v>2314</v>
      </c>
      <c r="E13" s="19">
        <v>852</v>
      </c>
      <c r="F13" s="19">
        <v>24</v>
      </c>
      <c r="G13" s="36">
        <v>12</v>
      </c>
      <c r="H13" s="42">
        <f>I13+J13+K13</f>
        <v>3299.8</v>
      </c>
      <c r="I13" s="19">
        <v>1182.4000000000001</v>
      </c>
      <c r="J13" s="19">
        <v>1631</v>
      </c>
      <c r="K13" s="19">
        <v>486.4</v>
      </c>
    </row>
    <row r="14" spans="1:19" x14ac:dyDescent="0.2">
      <c r="B14" s="1" t="s">
        <v>19</v>
      </c>
      <c r="C14" s="41">
        <f>D14+E14+F14</f>
        <v>2497</v>
      </c>
      <c r="D14" s="19">
        <v>1718</v>
      </c>
      <c r="E14" s="19">
        <v>727</v>
      </c>
      <c r="F14" s="19">
        <v>52</v>
      </c>
      <c r="G14" s="36">
        <v>13</v>
      </c>
      <c r="H14" s="42">
        <f>I14+J14+K14</f>
        <v>2664.8</v>
      </c>
      <c r="I14" s="19">
        <v>937</v>
      </c>
      <c r="J14" s="19">
        <v>1441</v>
      </c>
      <c r="K14" s="19">
        <v>286.8</v>
      </c>
    </row>
    <row r="15" spans="1:19" x14ac:dyDescent="0.2">
      <c r="B15" s="1" t="s">
        <v>20</v>
      </c>
      <c r="C15" s="41">
        <f>D15+E15+F15</f>
        <v>5029</v>
      </c>
      <c r="D15" s="19">
        <v>3351</v>
      </c>
      <c r="E15" s="19">
        <v>1562.5</v>
      </c>
      <c r="F15" s="19">
        <v>115.5</v>
      </c>
      <c r="G15" s="36">
        <v>10</v>
      </c>
      <c r="H15" s="42">
        <f>I15+J15+K15</f>
        <v>5018</v>
      </c>
      <c r="I15" s="19">
        <v>1569</v>
      </c>
      <c r="J15" s="19">
        <v>2454</v>
      </c>
      <c r="K15" s="19">
        <v>995</v>
      </c>
    </row>
    <row r="16" spans="1:19" x14ac:dyDescent="0.2">
      <c r="C16" s="9"/>
      <c r="D16" s="19"/>
      <c r="E16" s="19"/>
      <c r="F16" s="19"/>
      <c r="G16" s="36"/>
      <c r="I16" s="19"/>
      <c r="J16" s="19"/>
      <c r="K16" s="19"/>
    </row>
    <row r="17" spans="2:11" x14ac:dyDescent="0.2">
      <c r="B17" s="1" t="s">
        <v>21</v>
      </c>
      <c r="C17" s="41">
        <f>D17+E17+F17-1</f>
        <v>6142</v>
      </c>
      <c r="D17" s="19">
        <v>4266</v>
      </c>
      <c r="E17" s="19">
        <v>1807</v>
      </c>
      <c r="F17" s="19">
        <v>70</v>
      </c>
      <c r="G17" s="36">
        <v>11</v>
      </c>
      <c r="H17" s="42">
        <f>I17+J17+K17</f>
        <v>6185.7000000000007</v>
      </c>
      <c r="I17" s="19">
        <v>2244.3000000000002</v>
      </c>
      <c r="J17" s="19">
        <v>2709.4</v>
      </c>
      <c r="K17" s="19">
        <v>1232</v>
      </c>
    </row>
    <row r="18" spans="2:11" x14ac:dyDescent="0.2">
      <c r="B18" s="1" t="s">
        <v>22</v>
      </c>
      <c r="C18" s="41">
        <f>D18+E18+F18</f>
        <v>5502</v>
      </c>
      <c r="D18" s="19">
        <v>3733</v>
      </c>
      <c r="E18" s="19">
        <v>1697</v>
      </c>
      <c r="F18" s="19">
        <v>72</v>
      </c>
      <c r="G18" s="36">
        <v>11</v>
      </c>
      <c r="H18" s="42">
        <f>I18+J18+K18</f>
        <v>5483.8</v>
      </c>
      <c r="I18" s="19">
        <v>1855.4</v>
      </c>
      <c r="J18" s="19">
        <v>2461.4</v>
      </c>
      <c r="K18" s="19">
        <v>1167</v>
      </c>
    </row>
    <row r="19" spans="2:11" x14ac:dyDescent="0.2">
      <c r="B19" s="1" t="s">
        <v>23</v>
      </c>
      <c r="C19" s="41">
        <f>D19+E19+F19</f>
        <v>5871.2</v>
      </c>
      <c r="D19" s="19">
        <v>3853.5</v>
      </c>
      <c r="E19" s="19">
        <v>1937.7</v>
      </c>
      <c r="F19" s="19">
        <v>80</v>
      </c>
      <c r="G19" s="36">
        <v>11</v>
      </c>
      <c r="H19" s="42">
        <f>I19+J19+K19</f>
        <v>5931.6</v>
      </c>
      <c r="I19" s="19">
        <v>1768.3</v>
      </c>
      <c r="J19" s="19">
        <v>2789.3</v>
      </c>
      <c r="K19" s="19">
        <v>1374</v>
      </c>
    </row>
    <row r="20" spans="2:11" x14ac:dyDescent="0.2">
      <c r="B20" s="1" t="s">
        <v>24</v>
      </c>
      <c r="C20" s="41">
        <f>D20+E20+F20</f>
        <v>5166.3</v>
      </c>
      <c r="D20" s="19">
        <v>3422.6</v>
      </c>
      <c r="E20" s="19">
        <v>1672.4</v>
      </c>
      <c r="F20" s="19">
        <v>71.3</v>
      </c>
      <c r="G20" s="36">
        <v>8</v>
      </c>
      <c r="H20" s="42">
        <f>I20+J20+K20</f>
        <v>5170.8999999999996</v>
      </c>
      <c r="I20" s="19">
        <v>1572.6</v>
      </c>
      <c r="J20" s="19">
        <v>2467.3000000000002</v>
      </c>
      <c r="K20" s="19">
        <v>1131</v>
      </c>
    </row>
    <row r="21" spans="2:11" x14ac:dyDescent="0.2">
      <c r="B21" s="4" t="s">
        <v>25</v>
      </c>
      <c r="C21" s="37">
        <f>D21+E21+F21</f>
        <v>4562.7</v>
      </c>
      <c r="D21" s="34">
        <f>SUM(D23:D35)</f>
        <v>3077.7</v>
      </c>
      <c r="E21" s="34">
        <f>SUM(E23:E35)</f>
        <v>1417</v>
      </c>
      <c r="F21" s="34">
        <f>SUM(F23:F35)</f>
        <v>68</v>
      </c>
      <c r="G21" s="37">
        <v>8</v>
      </c>
      <c r="H21" s="34">
        <f>I21+J21+K21</f>
        <v>4562.5</v>
      </c>
      <c r="I21" s="34">
        <f>SUM(I23:I35)</f>
        <v>1429.9999999999998</v>
      </c>
      <c r="J21" s="34">
        <f>SUM(J23:J35)</f>
        <v>2055.9</v>
      </c>
      <c r="K21" s="34">
        <f>SUM(K23:K35)</f>
        <v>1076.5999999999999</v>
      </c>
    </row>
    <row r="22" spans="2:11" x14ac:dyDescent="0.2">
      <c r="C22" s="9"/>
      <c r="G22" s="36"/>
      <c r="I22" s="19"/>
      <c r="J22" s="19"/>
    </row>
    <row r="23" spans="2:11" x14ac:dyDescent="0.2">
      <c r="B23" s="1" t="s">
        <v>26</v>
      </c>
      <c r="C23" s="41">
        <f t="shared" ref="C23:C28" si="0">D23+E23+F23</f>
        <v>342.8</v>
      </c>
      <c r="D23" s="19">
        <v>243.4</v>
      </c>
      <c r="E23" s="19">
        <v>95.4</v>
      </c>
      <c r="F23" s="19">
        <v>4</v>
      </c>
      <c r="G23" s="97" t="s">
        <v>387</v>
      </c>
      <c r="H23" s="42">
        <f t="shared" ref="H23:H28" si="1">I23+J23+K23</f>
        <v>343.3</v>
      </c>
      <c r="I23" s="19">
        <v>120</v>
      </c>
      <c r="J23" s="19">
        <v>147</v>
      </c>
      <c r="K23" s="19">
        <v>76.3</v>
      </c>
    </row>
    <row r="24" spans="2:11" x14ac:dyDescent="0.2">
      <c r="B24" s="1" t="s">
        <v>28</v>
      </c>
      <c r="C24" s="41">
        <f t="shared" si="0"/>
        <v>464.3</v>
      </c>
      <c r="D24" s="19">
        <v>323.3</v>
      </c>
      <c r="E24" s="19">
        <v>135</v>
      </c>
      <c r="F24" s="19">
        <v>6</v>
      </c>
      <c r="G24" s="97" t="s">
        <v>388</v>
      </c>
      <c r="H24" s="42">
        <f t="shared" si="1"/>
        <v>464.3</v>
      </c>
      <c r="I24" s="19">
        <v>168</v>
      </c>
      <c r="J24" s="19">
        <v>200</v>
      </c>
      <c r="K24" s="19">
        <v>96.3</v>
      </c>
    </row>
    <row r="25" spans="2:11" x14ac:dyDescent="0.2">
      <c r="B25" s="1" t="s">
        <v>29</v>
      </c>
      <c r="C25" s="41">
        <f t="shared" si="0"/>
        <v>512.4</v>
      </c>
      <c r="D25" s="19">
        <v>353</v>
      </c>
      <c r="E25" s="19">
        <v>151.4</v>
      </c>
      <c r="F25" s="19">
        <v>8</v>
      </c>
      <c r="G25" s="97" t="s">
        <v>389</v>
      </c>
      <c r="H25" s="42">
        <f t="shared" si="1"/>
        <v>512</v>
      </c>
      <c r="I25" s="19">
        <v>198</v>
      </c>
      <c r="J25" s="19">
        <v>211</v>
      </c>
      <c r="K25" s="19">
        <v>103</v>
      </c>
    </row>
    <row r="26" spans="2:11" x14ac:dyDescent="0.2">
      <c r="B26" s="1" t="s">
        <v>30</v>
      </c>
      <c r="C26" s="41">
        <f t="shared" si="0"/>
        <v>397.4</v>
      </c>
      <c r="D26" s="19">
        <v>269</v>
      </c>
      <c r="E26" s="19">
        <v>122.4</v>
      </c>
      <c r="F26" s="19">
        <v>6</v>
      </c>
      <c r="G26" s="97" t="s">
        <v>387</v>
      </c>
      <c r="H26" s="42">
        <f t="shared" si="1"/>
        <v>397.4</v>
      </c>
      <c r="I26" s="19">
        <v>128.69999999999999</v>
      </c>
      <c r="J26" s="19">
        <v>181.7</v>
      </c>
      <c r="K26" s="19">
        <v>87</v>
      </c>
    </row>
    <row r="27" spans="2:11" x14ac:dyDescent="0.2">
      <c r="B27" s="1" t="s">
        <v>31</v>
      </c>
      <c r="C27" s="41">
        <f t="shared" si="0"/>
        <v>331.4</v>
      </c>
      <c r="D27" s="19">
        <v>219</v>
      </c>
      <c r="E27" s="19">
        <v>107.4</v>
      </c>
      <c r="F27" s="19">
        <v>5</v>
      </c>
      <c r="G27" s="97" t="s">
        <v>388</v>
      </c>
      <c r="H27" s="42">
        <f t="shared" si="1"/>
        <v>331</v>
      </c>
      <c r="I27" s="19">
        <v>96</v>
      </c>
      <c r="J27" s="19">
        <v>155</v>
      </c>
      <c r="K27" s="19">
        <v>80</v>
      </c>
    </row>
    <row r="28" spans="2:11" x14ac:dyDescent="0.2">
      <c r="B28" s="1" t="s">
        <v>32</v>
      </c>
      <c r="C28" s="41">
        <f t="shared" si="0"/>
        <v>351.4</v>
      </c>
      <c r="D28" s="19">
        <v>225</v>
      </c>
      <c r="E28" s="19">
        <v>120.4</v>
      </c>
      <c r="F28" s="19">
        <v>6</v>
      </c>
      <c r="G28" s="97" t="s">
        <v>389</v>
      </c>
      <c r="H28" s="42">
        <f t="shared" si="1"/>
        <v>351</v>
      </c>
      <c r="I28" s="19">
        <v>109</v>
      </c>
      <c r="J28" s="19">
        <v>159</v>
      </c>
      <c r="K28" s="19">
        <v>83</v>
      </c>
    </row>
    <row r="29" spans="2:11" x14ac:dyDescent="0.2">
      <c r="C29" s="9"/>
      <c r="G29" s="36"/>
    </row>
    <row r="30" spans="2:11" x14ac:dyDescent="0.2">
      <c r="B30" s="1" t="s">
        <v>33</v>
      </c>
      <c r="C30" s="41">
        <f t="shared" ref="C30:C35" si="2">D30+E30+F30</f>
        <v>396.7</v>
      </c>
      <c r="D30" s="19">
        <v>275.39999999999998</v>
      </c>
      <c r="E30" s="19">
        <v>115.3</v>
      </c>
      <c r="F30" s="19">
        <v>6</v>
      </c>
      <c r="G30" s="97" t="s">
        <v>387</v>
      </c>
      <c r="H30" s="42">
        <f t="shared" ref="H30:H35" si="3">I30+J30+K30</f>
        <v>396.6</v>
      </c>
      <c r="I30" s="19">
        <v>124.3</v>
      </c>
      <c r="J30" s="19">
        <v>173.3</v>
      </c>
      <c r="K30" s="19">
        <v>99</v>
      </c>
    </row>
    <row r="31" spans="2:11" x14ac:dyDescent="0.2">
      <c r="B31" s="1" t="s">
        <v>34</v>
      </c>
      <c r="C31" s="41">
        <f t="shared" si="2"/>
        <v>312</v>
      </c>
      <c r="D31" s="19">
        <v>197</v>
      </c>
      <c r="E31" s="19">
        <v>109</v>
      </c>
      <c r="F31" s="19">
        <v>6</v>
      </c>
      <c r="G31" s="97" t="s">
        <v>388</v>
      </c>
      <c r="H31" s="42">
        <f t="shared" si="3"/>
        <v>312</v>
      </c>
      <c r="I31" s="19">
        <v>91</v>
      </c>
      <c r="J31" s="19">
        <v>151</v>
      </c>
      <c r="K31" s="19">
        <v>70</v>
      </c>
    </row>
    <row r="32" spans="2:11" x14ac:dyDescent="0.2">
      <c r="B32" s="1" t="s">
        <v>35</v>
      </c>
      <c r="C32" s="41">
        <f t="shared" si="2"/>
        <v>303</v>
      </c>
      <c r="D32" s="19">
        <v>192</v>
      </c>
      <c r="E32" s="19">
        <v>106</v>
      </c>
      <c r="F32" s="19">
        <v>5</v>
      </c>
      <c r="G32" s="97" t="s">
        <v>389</v>
      </c>
      <c r="H32" s="42">
        <f t="shared" si="3"/>
        <v>303</v>
      </c>
      <c r="I32" s="19">
        <v>83</v>
      </c>
      <c r="J32" s="19">
        <v>152</v>
      </c>
      <c r="K32" s="19">
        <v>68</v>
      </c>
    </row>
    <row r="33" spans="2:11" x14ac:dyDescent="0.2">
      <c r="B33" s="1" t="s">
        <v>36</v>
      </c>
      <c r="C33" s="41">
        <f t="shared" si="2"/>
        <v>339</v>
      </c>
      <c r="D33" s="19">
        <v>230</v>
      </c>
      <c r="E33" s="19">
        <v>104</v>
      </c>
      <c r="F33" s="19">
        <v>5</v>
      </c>
      <c r="G33" s="97" t="s">
        <v>387</v>
      </c>
      <c r="H33" s="42">
        <f t="shared" si="3"/>
        <v>339.29999999999995</v>
      </c>
      <c r="I33" s="19">
        <v>97.6</v>
      </c>
      <c r="J33" s="19">
        <v>154.69999999999999</v>
      </c>
      <c r="K33" s="19">
        <v>87</v>
      </c>
    </row>
    <row r="34" spans="2:11" x14ac:dyDescent="0.2">
      <c r="B34" s="1" t="s">
        <v>37</v>
      </c>
      <c r="C34" s="41">
        <f t="shared" si="2"/>
        <v>391</v>
      </c>
      <c r="D34" s="19">
        <v>266</v>
      </c>
      <c r="E34" s="19">
        <v>120</v>
      </c>
      <c r="F34" s="19">
        <v>5</v>
      </c>
      <c r="G34" s="97" t="s">
        <v>388</v>
      </c>
      <c r="H34" s="42">
        <f t="shared" si="3"/>
        <v>391.2</v>
      </c>
      <c r="I34" s="19">
        <v>110.6</v>
      </c>
      <c r="J34" s="19">
        <v>171.6</v>
      </c>
      <c r="K34" s="19">
        <v>109</v>
      </c>
    </row>
    <row r="35" spans="2:11" x14ac:dyDescent="0.2">
      <c r="B35" s="1" t="s">
        <v>38</v>
      </c>
      <c r="C35" s="41">
        <f t="shared" si="2"/>
        <v>421.3</v>
      </c>
      <c r="D35" s="19">
        <v>284.60000000000002</v>
      </c>
      <c r="E35" s="19">
        <v>130.69999999999999</v>
      </c>
      <c r="F35" s="19">
        <v>6</v>
      </c>
      <c r="G35" s="97" t="s">
        <v>389</v>
      </c>
      <c r="H35" s="42">
        <f t="shared" si="3"/>
        <v>421.4</v>
      </c>
      <c r="I35" s="19">
        <v>103.8</v>
      </c>
      <c r="J35" s="19">
        <v>199.6</v>
      </c>
      <c r="K35" s="19">
        <v>118</v>
      </c>
    </row>
    <row r="36" spans="2:11" ht="18" thickBot="1" x14ac:dyDescent="0.25">
      <c r="B36" s="5"/>
      <c r="C36" s="38"/>
      <c r="D36" s="5"/>
      <c r="E36" s="5"/>
      <c r="F36" s="5"/>
      <c r="G36" s="38"/>
      <c r="H36" s="5"/>
      <c r="I36" s="5"/>
      <c r="J36" s="5"/>
      <c r="K36" s="5"/>
    </row>
    <row r="37" spans="2:11" x14ac:dyDescent="0.2">
      <c r="C37" s="1" t="s">
        <v>390</v>
      </c>
    </row>
  </sheetData>
  <phoneticPr fontId="2"/>
  <pageMargins left="0.23000000000000004" right="0.23000000000000004" top="1" bottom="1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>
      <selection activeCell="G28" sqref="G28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7" width="12.125" style="2"/>
    <col min="8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3" width="12.125" style="2"/>
    <col min="264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19" width="12.125" style="2"/>
    <col min="520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5" width="12.125" style="2"/>
    <col min="776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1" width="12.125" style="2"/>
    <col min="1032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7" width="12.125" style="2"/>
    <col min="1288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3" width="12.125" style="2"/>
    <col min="1544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799" width="12.125" style="2"/>
    <col min="1800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5" width="12.125" style="2"/>
    <col min="2056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1" width="12.125" style="2"/>
    <col min="2312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7" width="12.125" style="2"/>
    <col min="2568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3" width="12.125" style="2"/>
    <col min="2824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79" width="12.125" style="2"/>
    <col min="3080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5" width="12.125" style="2"/>
    <col min="3336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1" width="12.125" style="2"/>
    <col min="3592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7" width="12.125" style="2"/>
    <col min="3848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3" width="12.125" style="2"/>
    <col min="4104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59" width="12.125" style="2"/>
    <col min="4360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5" width="12.125" style="2"/>
    <col min="4616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1" width="12.125" style="2"/>
    <col min="4872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7" width="12.125" style="2"/>
    <col min="5128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3" width="12.125" style="2"/>
    <col min="5384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39" width="12.125" style="2"/>
    <col min="5640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5" width="12.125" style="2"/>
    <col min="5896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1" width="12.125" style="2"/>
    <col min="6152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7" width="12.125" style="2"/>
    <col min="6408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3" width="12.125" style="2"/>
    <col min="6664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19" width="12.125" style="2"/>
    <col min="6920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5" width="12.125" style="2"/>
    <col min="7176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1" width="12.125" style="2"/>
    <col min="7432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7" width="12.125" style="2"/>
    <col min="7688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3" width="12.125" style="2"/>
    <col min="7944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199" width="12.125" style="2"/>
    <col min="8200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5" width="12.125" style="2"/>
    <col min="8456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1" width="12.125" style="2"/>
    <col min="8712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7" width="12.125" style="2"/>
    <col min="8968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3" width="12.125" style="2"/>
    <col min="9224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79" width="12.125" style="2"/>
    <col min="9480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5" width="12.125" style="2"/>
    <col min="9736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1" width="12.125" style="2"/>
    <col min="9992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7" width="12.125" style="2"/>
    <col min="10248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3" width="12.125" style="2"/>
    <col min="10504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59" width="12.125" style="2"/>
    <col min="10760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5" width="12.125" style="2"/>
    <col min="11016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1" width="12.125" style="2"/>
    <col min="11272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7" width="12.125" style="2"/>
    <col min="11528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3" width="12.125" style="2"/>
    <col min="11784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39" width="12.125" style="2"/>
    <col min="12040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5" width="12.125" style="2"/>
    <col min="12296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1" width="12.125" style="2"/>
    <col min="12552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7" width="12.125" style="2"/>
    <col min="12808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3" width="12.125" style="2"/>
    <col min="13064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19" width="12.125" style="2"/>
    <col min="13320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5" width="12.125" style="2"/>
    <col min="13576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1" width="12.125" style="2"/>
    <col min="13832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7" width="12.125" style="2"/>
    <col min="14088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3" width="12.125" style="2"/>
    <col min="14344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599" width="12.125" style="2"/>
    <col min="14600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5" width="12.125" style="2"/>
    <col min="14856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1" width="12.125" style="2"/>
    <col min="15112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7" width="12.125" style="2"/>
    <col min="15368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3" width="12.125" style="2"/>
    <col min="15624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79" width="12.125" style="2"/>
    <col min="15880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5" width="12.125" style="2"/>
    <col min="16136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C6" s="3"/>
      <c r="E6" s="4" t="s">
        <v>0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6"/>
      <c r="D8" s="7"/>
      <c r="E8" s="7"/>
      <c r="F8" s="8" t="s">
        <v>1</v>
      </c>
      <c r="G8" s="7"/>
      <c r="H8" s="7"/>
      <c r="I8" s="7"/>
      <c r="J8" s="7"/>
      <c r="K8" s="9"/>
    </row>
    <row r="9" spans="1:11" x14ac:dyDescent="0.2">
      <c r="C9" s="9"/>
      <c r="D9" s="7"/>
      <c r="E9" s="8" t="s">
        <v>2</v>
      </c>
      <c r="F9" s="7"/>
      <c r="G9" s="7"/>
      <c r="H9" s="7"/>
      <c r="I9" s="7"/>
      <c r="J9" s="9"/>
      <c r="K9" s="10" t="s">
        <v>3</v>
      </c>
    </row>
    <row r="10" spans="1:11" x14ac:dyDescent="0.2">
      <c r="C10" s="11" t="s">
        <v>4</v>
      </c>
      <c r="D10" s="9"/>
      <c r="E10" s="7"/>
      <c r="F10" s="7"/>
      <c r="G10" s="9"/>
      <c r="H10" s="7"/>
      <c r="I10" s="7"/>
      <c r="J10" s="10" t="s">
        <v>5</v>
      </c>
      <c r="K10" s="10" t="s">
        <v>6</v>
      </c>
    </row>
    <row r="11" spans="1:11" x14ac:dyDescent="0.2">
      <c r="B11" s="7"/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  <c r="J11" s="6"/>
      <c r="K11" s="13" t="s">
        <v>14</v>
      </c>
    </row>
    <row r="12" spans="1:11" x14ac:dyDescent="0.2">
      <c r="C12" s="14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16</v>
      </c>
      <c r="K12" s="15" t="s">
        <v>17</v>
      </c>
    </row>
    <row r="13" spans="1:11" x14ac:dyDescent="0.2">
      <c r="B13" s="1" t="s">
        <v>18</v>
      </c>
      <c r="C13" s="16">
        <f>D13+G13</f>
        <v>2050.9639999999999</v>
      </c>
      <c r="D13" s="17">
        <v>1407.2529999999999</v>
      </c>
      <c r="E13" s="17">
        <v>376.488</v>
      </c>
      <c r="F13" s="18">
        <f>D13-E13</f>
        <v>1030.7649999999999</v>
      </c>
      <c r="G13" s="17">
        <v>643.71100000000001</v>
      </c>
      <c r="H13" s="17">
        <v>230.131</v>
      </c>
      <c r="I13" s="18">
        <f>G13-H13</f>
        <v>413.58000000000004</v>
      </c>
      <c r="J13" s="19">
        <v>24615.47</v>
      </c>
      <c r="K13" s="19">
        <v>1036</v>
      </c>
    </row>
    <row r="14" spans="1:11" x14ac:dyDescent="0.2">
      <c r="B14" s="20" t="s">
        <v>19</v>
      </c>
      <c r="C14" s="16">
        <f>D14+G14</f>
        <v>1458.9</v>
      </c>
      <c r="D14" s="21">
        <v>965.3</v>
      </c>
      <c r="E14" s="21">
        <v>204.3</v>
      </c>
      <c r="F14" s="22">
        <f>D14-E14</f>
        <v>761</v>
      </c>
      <c r="G14" s="21">
        <v>493.6</v>
      </c>
      <c r="H14" s="21">
        <v>152.80000000000001</v>
      </c>
      <c r="I14" s="22">
        <f>G14-H14-0.1</f>
        <v>340.7</v>
      </c>
      <c r="J14" s="23">
        <v>18894.7</v>
      </c>
      <c r="K14" s="23">
        <v>1002</v>
      </c>
    </row>
    <row r="15" spans="1:11" x14ac:dyDescent="0.2">
      <c r="B15" s="20" t="s">
        <v>20</v>
      </c>
      <c r="C15" s="16">
        <f>D15+G15</f>
        <v>1789</v>
      </c>
      <c r="D15" s="21">
        <v>1174.0999999999999</v>
      </c>
      <c r="E15" s="21">
        <v>209.2</v>
      </c>
      <c r="F15" s="22">
        <f>D15-E15</f>
        <v>964.89999999999986</v>
      </c>
      <c r="G15" s="21">
        <v>614.9</v>
      </c>
      <c r="H15" s="21">
        <v>113.6</v>
      </c>
      <c r="I15" s="22">
        <f>G15-H15</f>
        <v>501.29999999999995</v>
      </c>
      <c r="J15" s="23">
        <v>20412.3</v>
      </c>
      <c r="K15" s="23">
        <v>962</v>
      </c>
    </row>
    <row r="16" spans="1:11" x14ac:dyDescent="0.2">
      <c r="B16" s="3"/>
      <c r="C16" s="16"/>
      <c r="D16" s="21"/>
      <c r="E16" s="21"/>
      <c r="F16" s="22"/>
      <c r="G16" s="21"/>
      <c r="H16" s="21"/>
      <c r="I16" s="22"/>
      <c r="J16" s="23"/>
      <c r="K16" s="23"/>
    </row>
    <row r="17" spans="2:11" x14ac:dyDescent="0.2">
      <c r="B17" s="20" t="s">
        <v>21</v>
      </c>
      <c r="C17" s="16">
        <f>D17+G17-0.1</f>
        <v>1275.2</v>
      </c>
      <c r="D17" s="21">
        <v>879.5</v>
      </c>
      <c r="E17" s="21">
        <v>257.5</v>
      </c>
      <c r="F17" s="22">
        <f>D17-E17+0.3</f>
        <v>622.29999999999995</v>
      </c>
      <c r="G17" s="21">
        <v>395.8</v>
      </c>
      <c r="H17" s="21">
        <v>130.1</v>
      </c>
      <c r="I17" s="22">
        <f>G17-H17</f>
        <v>265.70000000000005</v>
      </c>
      <c r="J17" s="24">
        <v>15273.2</v>
      </c>
      <c r="K17" s="24">
        <v>660</v>
      </c>
    </row>
    <row r="18" spans="2:11" x14ac:dyDescent="0.2">
      <c r="B18" s="20" t="s">
        <v>22</v>
      </c>
      <c r="C18" s="16">
        <f>D18+G18</f>
        <v>1184.0999999999999</v>
      </c>
      <c r="D18" s="21">
        <v>787.55</v>
      </c>
      <c r="E18" s="21">
        <v>238.86</v>
      </c>
      <c r="F18" s="22">
        <f>D18-E18</f>
        <v>548.68999999999994</v>
      </c>
      <c r="G18" s="21">
        <v>396.55</v>
      </c>
      <c r="H18" s="21">
        <v>115.94</v>
      </c>
      <c r="I18" s="22">
        <f>G18-H18</f>
        <v>280.61</v>
      </c>
      <c r="J18" s="24">
        <v>14952.1</v>
      </c>
      <c r="K18" s="24">
        <v>642</v>
      </c>
    </row>
    <row r="19" spans="2:11" x14ac:dyDescent="0.2">
      <c r="B19" s="20" t="s">
        <v>23</v>
      </c>
      <c r="C19" s="16">
        <f>D19+G19</f>
        <v>1122.3000000000002</v>
      </c>
      <c r="D19" s="21">
        <v>741.7</v>
      </c>
      <c r="E19" s="21">
        <v>232.5</v>
      </c>
      <c r="F19" s="22">
        <f>D19-E19</f>
        <v>509.20000000000005</v>
      </c>
      <c r="G19" s="21">
        <v>380.6</v>
      </c>
      <c r="H19" s="21">
        <v>130.80000000000001</v>
      </c>
      <c r="I19" s="22">
        <f>G19-H19</f>
        <v>249.8</v>
      </c>
      <c r="J19" s="24">
        <v>14422.2</v>
      </c>
      <c r="K19" s="24">
        <v>629</v>
      </c>
    </row>
    <row r="20" spans="2:11" x14ac:dyDescent="0.2">
      <c r="B20" s="20" t="s">
        <v>24</v>
      </c>
      <c r="C20" s="16">
        <f>D20+G20+0.1</f>
        <v>1157.3</v>
      </c>
      <c r="D20" s="21">
        <v>760</v>
      </c>
      <c r="E20" s="21">
        <v>247.1</v>
      </c>
      <c r="F20" s="22">
        <f>D20-E20+0.1</f>
        <v>513</v>
      </c>
      <c r="G20" s="21">
        <v>397.2</v>
      </c>
      <c r="H20" s="21">
        <v>126.9</v>
      </c>
      <c r="I20" s="22">
        <f>G20-H20</f>
        <v>270.29999999999995</v>
      </c>
      <c r="J20" s="24">
        <v>14781.2</v>
      </c>
      <c r="K20" s="24">
        <v>654</v>
      </c>
    </row>
    <row r="21" spans="2:11" x14ac:dyDescent="0.2">
      <c r="B21" s="25" t="s">
        <v>25</v>
      </c>
      <c r="C21" s="26">
        <f>D21+G21</f>
        <v>1008.8</v>
      </c>
      <c r="D21" s="27">
        <f>SUM(D23:D35)</f>
        <v>681.36</v>
      </c>
      <c r="E21" s="27">
        <f>SUM(E23:E35)</f>
        <v>219.15</v>
      </c>
      <c r="F21" s="27">
        <f>SUM(F23:F35)</f>
        <v>462.21000000000009</v>
      </c>
      <c r="G21" s="27">
        <f>SUM(G23:G35)</f>
        <v>327.44</v>
      </c>
      <c r="H21" s="27">
        <f>SUM(H23:H35)</f>
        <v>99.53</v>
      </c>
      <c r="I21" s="27">
        <f>G21-H21</f>
        <v>227.91</v>
      </c>
      <c r="J21" s="28">
        <f>SUM(J23:J35)</f>
        <v>13012.1</v>
      </c>
      <c r="K21" s="28">
        <f>K35</f>
        <v>614</v>
      </c>
    </row>
    <row r="22" spans="2:11" x14ac:dyDescent="0.2">
      <c r="B22" s="3"/>
      <c r="C22" s="16"/>
      <c r="D22" s="21"/>
      <c r="E22" s="23"/>
      <c r="F22" s="3"/>
      <c r="G22" s="21"/>
      <c r="H22" s="23"/>
      <c r="I22" s="3"/>
      <c r="J22" s="23"/>
      <c r="K22" s="23"/>
    </row>
    <row r="23" spans="2:11" x14ac:dyDescent="0.2">
      <c r="B23" s="20" t="s">
        <v>26</v>
      </c>
      <c r="C23" s="16">
        <f t="shared" ref="C23:C28" si="0">D23+G23</f>
        <v>68.59</v>
      </c>
      <c r="D23" s="21">
        <v>46.93</v>
      </c>
      <c r="E23" s="21">
        <v>14</v>
      </c>
      <c r="F23" s="22">
        <f t="shared" ref="F23:F28" si="1">D23-E23</f>
        <v>32.93</v>
      </c>
      <c r="G23" s="21">
        <v>21.66</v>
      </c>
      <c r="H23" s="21">
        <v>7.3</v>
      </c>
      <c r="I23" s="22">
        <f t="shared" ref="I23:I28" si="2">G23-H23</f>
        <v>14.36</v>
      </c>
      <c r="J23" s="23">
        <v>886.9</v>
      </c>
      <c r="K23" s="29" t="s">
        <v>27</v>
      </c>
    </row>
    <row r="24" spans="2:11" x14ac:dyDescent="0.2">
      <c r="B24" s="20" t="s">
        <v>28</v>
      </c>
      <c r="C24" s="16">
        <f t="shared" si="0"/>
        <v>96.39</v>
      </c>
      <c r="D24" s="21">
        <v>64.53</v>
      </c>
      <c r="E24" s="21">
        <v>21.9</v>
      </c>
      <c r="F24" s="22">
        <f t="shared" si="1"/>
        <v>42.63</v>
      </c>
      <c r="G24" s="21">
        <v>31.86</v>
      </c>
      <c r="H24" s="21">
        <v>10.3</v>
      </c>
      <c r="I24" s="22">
        <f t="shared" si="2"/>
        <v>21.56</v>
      </c>
      <c r="J24" s="23">
        <v>1246.5999999999999</v>
      </c>
      <c r="K24" s="29" t="s">
        <v>27</v>
      </c>
    </row>
    <row r="25" spans="2:11" x14ac:dyDescent="0.2">
      <c r="B25" s="20" t="s">
        <v>29</v>
      </c>
      <c r="C25" s="16">
        <f t="shared" si="0"/>
        <v>108.86</v>
      </c>
      <c r="D25" s="21">
        <v>74</v>
      </c>
      <c r="E25" s="21">
        <v>23.83</v>
      </c>
      <c r="F25" s="22">
        <f t="shared" si="1"/>
        <v>50.17</v>
      </c>
      <c r="G25" s="21">
        <v>34.86</v>
      </c>
      <c r="H25" s="21">
        <v>11.8</v>
      </c>
      <c r="I25" s="22">
        <f t="shared" si="2"/>
        <v>23.06</v>
      </c>
      <c r="J25" s="23">
        <v>1387.5</v>
      </c>
      <c r="K25" s="23">
        <v>622</v>
      </c>
    </row>
    <row r="26" spans="2:11" x14ac:dyDescent="0.2">
      <c r="B26" s="20" t="s">
        <v>30</v>
      </c>
      <c r="C26" s="16">
        <f t="shared" si="0"/>
        <v>82.36</v>
      </c>
      <c r="D26" s="21">
        <v>53.5</v>
      </c>
      <c r="E26" s="21">
        <v>17</v>
      </c>
      <c r="F26" s="22">
        <f t="shared" si="1"/>
        <v>36.5</v>
      </c>
      <c r="G26" s="21">
        <v>28.86</v>
      </c>
      <c r="H26" s="21">
        <v>7.2</v>
      </c>
      <c r="I26" s="22">
        <f t="shared" si="2"/>
        <v>21.66</v>
      </c>
      <c r="J26" s="23">
        <v>1061.8</v>
      </c>
      <c r="K26" s="29" t="s">
        <v>27</v>
      </c>
    </row>
    <row r="27" spans="2:11" x14ac:dyDescent="0.2">
      <c r="B27" s="20" t="s">
        <v>31</v>
      </c>
      <c r="C27" s="16">
        <f t="shared" si="0"/>
        <v>74.5</v>
      </c>
      <c r="D27" s="30">
        <v>49.8</v>
      </c>
      <c r="E27" s="21">
        <v>18.23</v>
      </c>
      <c r="F27" s="22">
        <f t="shared" si="1"/>
        <v>31.569999999999997</v>
      </c>
      <c r="G27" s="21">
        <v>24.7</v>
      </c>
      <c r="H27" s="21">
        <v>6.16</v>
      </c>
      <c r="I27" s="22">
        <f t="shared" si="2"/>
        <v>18.54</v>
      </c>
      <c r="J27" s="23">
        <v>964.4</v>
      </c>
      <c r="K27" s="29" t="s">
        <v>27</v>
      </c>
    </row>
    <row r="28" spans="2:11" x14ac:dyDescent="0.2">
      <c r="B28" s="20" t="s">
        <v>32</v>
      </c>
      <c r="C28" s="16">
        <f t="shared" si="0"/>
        <v>76.400000000000006</v>
      </c>
      <c r="D28" s="21">
        <v>49.6</v>
      </c>
      <c r="E28" s="21">
        <v>14.73</v>
      </c>
      <c r="F28" s="22">
        <f t="shared" si="1"/>
        <v>34.870000000000005</v>
      </c>
      <c r="G28" s="21">
        <v>26.8</v>
      </c>
      <c r="H28" s="21">
        <v>7.17</v>
      </c>
      <c r="I28" s="22">
        <f t="shared" si="2"/>
        <v>19.630000000000003</v>
      </c>
      <c r="J28" s="23">
        <v>967.6</v>
      </c>
      <c r="K28" s="23">
        <v>622</v>
      </c>
    </row>
    <row r="29" spans="2:11" x14ac:dyDescent="0.2">
      <c r="B29" s="3"/>
      <c r="C29" s="9"/>
      <c r="D29" s="3"/>
      <c r="E29" s="3"/>
      <c r="F29" s="3"/>
      <c r="G29" s="3"/>
      <c r="H29" s="3"/>
      <c r="I29" s="3"/>
      <c r="J29" s="3"/>
      <c r="K29" s="23"/>
    </row>
    <row r="30" spans="2:11" x14ac:dyDescent="0.2">
      <c r="B30" s="20" t="s">
        <v>33</v>
      </c>
      <c r="C30" s="16">
        <f t="shared" ref="C30:C35" si="3">D30+G30</f>
        <v>82.5</v>
      </c>
      <c r="D30" s="21">
        <v>51.7</v>
      </c>
      <c r="E30" s="21">
        <v>15.53</v>
      </c>
      <c r="F30" s="22">
        <f t="shared" ref="F30:F35" si="4">D30-E30</f>
        <v>36.17</v>
      </c>
      <c r="G30" s="21">
        <v>30.8</v>
      </c>
      <c r="H30" s="21">
        <v>10.4</v>
      </c>
      <c r="I30" s="22">
        <f t="shared" ref="I30:I35" si="5">G30-H30</f>
        <v>20.399999999999999</v>
      </c>
      <c r="J30" s="23">
        <v>1067.0999999999999</v>
      </c>
      <c r="K30" s="29" t="s">
        <v>27</v>
      </c>
    </row>
    <row r="31" spans="2:11" x14ac:dyDescent="0.2">
      <c r="B31" s="20" t="s">
        <v>34</v>
      </c>
      <c r="C31" s="16">
        <f t="shared" si="3"/>
        <v>72.8</v>
      </c>
      <c r="D31" s="21">
        <v>47.5</v>
      </c>
      <c r="E31" s="21">
        <v>13.53</v>
      </c>
      <c r="F31" s="22">
        <f t="shared" si="4"/>
        <v>33.97</v>
      </c>
      <c r="G31" s="21">
        <v>25.3</v>
      </c>
      <c r="H31" s="21">
        <v>8.4</v>
      </c>
      <c r="I31" s="22">
        <f t="shared" si="5"/>
        <v>16.899999999999999</v>
      </c>
      <c r="J31" s="23">
        <v>938.9</v>
      </c>
      <c r="K31" s="29" t="s">
        <v>27</v>
      </c>
    </row>
    <row r="32" spans="2:11" x14ac:dyDescent="0.2">
      <c r="B32" s="20" t="s">
        <v>35</v>
      </c>
      <c r="C32" s="16">
        <f t="shared" si="3"/>
        <v>71.800000000000011</v>
      </c>
      <c r="D32" s="21">
        <v>47.7</v>
      </c>
      <c r="E32" s="21">
        <v>14.6</v>
      </c>
      <c r="F32" s="22">
        <f t="shared" si="4"/>
        <v>33.1</v>
      </c>
      <c r="G32" s="21">
        <v>24.1</v>
      </c>
      <c r="H32" s="21">
        <v>7.8</v>
      </c>
      <c r="I32" s="22">
        <f t="shared" si="5"/>
        <v>16.3</v>
      </c>
      <c r="J32" s="23">
        <v>919</v>
      </c>
      <c r="K32" s="23">
        <v>617</v>
      </c>
    </row>
    <row r="33" spans="1:11" x14ac:dyDescent="0.2">
      <c r="B33" s="20" t="s">
        <v>36</v>
      </c>
      <c r="C33" s="16">
        <f t="shared" si="3"/>
        <v>80.8</v>
      </c>
      <c r="D33" s="21">
        <v>57.5</v>
      </c>
      <c r="E33" s="21">
        <v>19.600000000000001</v>
      </c>
      <c r="F33" s="22">
        <f t="shared" si="4"/>
        <v>37.9</v>
      </c>
      <c r="G33" s="21">
        <v>23.3</v>
      </c>
      <c r="H33" s="21">
        <v>8.6</v>
      </c>
      <c r="I33" s="22">
        <f t="shared" si="5"/>
        <v>14.700000000000001</v>
      </c>
      <c r="J33" s="23">
        <v>1047.2</v>
      </c>
      <c r="K33" s="29" t="s">
        <v>27</v>
      </c>
    </row>
    <row r="34" spans="1:11" x14ac:dyDescent="0.2">
      <c r="B34" s="20" t="s">
        <v>37</v>
      </c>
      <c r="C34" s="16">
        <f t="shared" si="3"/>
        <v>91.4</v>
      </c>
      <c r="D34" s="21">
        <v>64.5</v>
      </c>
      <c r="E34" s="21">
        <v>21.4</v>
      </c>
      <c r="F34" s="22">
        <f t="shared" si="4"/>
        <v>43.1</v>
      </c>
      <c r="G34" s="21">
        <v>26.9</v>
      </c>
      <c r="H34" s="21">
        <v>6.7</v>
      </c>
      <c r="I34" s="22">
        <f t="shared" si="5"/>
        <v>20.2</v>
      </c>
      <c r="J34" s="23">
        <v>1183.4000000000001</v>
      </c>
      <c r="K34" s="29" t="s">
        <v>27</v>
      </c>
    </row>
    <row r="35" spans="1:11" x14ac:dyDescent="0.2">
      <c r="B35" s="20" t="s">
        <v>38</v>
      </c>
      <c r="C35" s="16">
        <f t="shared" si="3"/>
        <v>102.39999999999999</v>
      </c>
      <c r="D35" s="21">
        <v>74.099999999999994</v>
      </c>
      <c r="E35" s="21">
        <v>24.8</v>
      </c>
      <c r="F35" s="22">
        <f t="shared" si="4"/>
        <v>49.3</v>
      </c>
      <c r="G35" s="21">
        <v>28.3</v>
      </c>
      <c r="H35" s="21">
        <v>7.7</v>
      </c>
      <c r="I35" s="22">
        <f t="shared" si="5"/>
        <v>20.6</v>
      </c>
      <c r="J35" s="23">
        <v>1341.7</v>
      </c>
      <c r="K35" s="23">
        <v>614</v>
      </c>
    </row>
    <row r="36" spans="1:11" ht="18" thickBot="1" x14ac:dyDescent="0.25">
      <c r="B36" s="31"/>
      <c r="C36" s="32"/>
      <c r="D36" s="33"/>
      <c r="E36" s="31"/>
      <c r="F36" s="31"/>
      <c r="G36" s="33"/>
      <c r="H36" s="31"/>
      <c r="I36" s="31"/>
      <c r="J36" s="31"/>
      <c r="K36" s="31"/>
    </row>
    <row r="37" spans="1:11" x14ac:dyDescent="0.2">
      <c r="B37" s="34"/>
      <c r="C37" s="1" t="s">
        <v>39</v>
      </c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1"/>
      <c r="B38" s="34"/>
      <c r="C38" s="34"/>
      <c r="D38" s="34"/>
      <c r="E38" s="34"/>
      <c r="F38" s="34"/>
      <c r="G38" s="34"/>
      <c r="H38" s="34"/>
      <c r="I38" s="34"/>
      <c r="J38" s="34"/>
      <c r="K38" s="34"/>
    </row>
  </sheetData>
  <phoneticPr fontId="2"/>
  <pageMargins left="0.23000000000000004" right="0.23000000000000004" top="1" bottom="1" header="0.51200000000000001" footer="0.51200000000000001"/>
  <pageSetup paperSize="12" scale="75" orientation="portrait" verticalDpi="0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841"/>
  <sheetViews>
    <sheetView showGridLines="0" zoomScale="75" workbookViewId="0">
      <selection activeCell="D30" sqref="D30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7.125" style="2" customWidth="1"/>
    <col min="4" max="4" width="18.375" style="2" customWidth="1"/>
    <col min="5" max="6" width="15.875" style="2"/>
    <col min="7" max="7" width="18.375" style="2" customWidth="1"/>
    <col min="8" max="9" width="17.125" style="2" customWidth="1"/>
    <col min="10" max="256" width="15.875" style="2"/>
    <col min="257" max="257" width="13.375" style="2" customWidth="1"/>
    <col min="258" max="258" width="5.875" style="2" customWidth="1"/>
    <col min="259" max="259" width="7.125" style="2" customWidth="1"/>
    <col min="260" max="260" width="18.375" style="2" customWidth="1"/>
    <col min="261" max="262" width="15.875" style="2"/>
    <col min="263" max="263" width="18.375" style="2" customWidth="1"/>
    <col min="264" max="265" width="17.125" style="2" customWidth="1"/>
    <col min="266" max="512" width="15.875" style="2"/>
    <col min="513" max="513" width="13.375" style="2" customWidth="1"/>
    <col min="514" max="514" width="5.875" style="2" customWidth="1"/>
    <col min="515" max="515" width="7.125" style="2" customWidth="1"/>
    <col min="516" max="516" width="18.375" style="2" customWidth="1"/>
    <col min="517" max="518" width="15.875" style="2"/>
    <col min="519" max="519" width="18.375" style="2" customWidth="1"/>
    <col min="520" max="521" width="17.125" style="2" customWidth="1"/>
    <col min="522" max="768" width="15.875" style="2"/>
    <col min="769" max="769" width="13.375" style="2" customWidth="1"/>
    <col min="770" max="770" width="5.875" style="2" customWidth="1"/>
    <col min="771" max="771" width="7.125" style="2" customWidth="1"/>
    <col min="772" max="772" width="18.375" style="2" customWidth="1"/>
    <col min="773" max="774" width="15.875" style="2"/>
    <col min="775" max="775" width="18.375" style="2" customWidth="1"/>
    <col min="776" max="777" width="17.125" style="2" customWidth="1"/>
    <col min="778" max="1024" width="15.875" style="2"/>
    <col min="1025" max="1025" width="13.375" style="2" customWidth="1"/>
    <col min="1026" max="1026" width="5.875" style="2" customWidth="1"/>
    <col min="1027" max="1027" width="7.125" style="2" customWidth="1"/>
    <col min="1028" max="1028" width="18.375" style="2" customWidth="1"/>
    <col min="1029" max="1030" width="15.875" style="2"/>
    <col min="1031" max="1031" width="18.375" style="2" customWidth="1"/>
    <col min="1032" max="1033" width="17.125" style="2" customWidth="1"/>
    <col min="1034" max="1280" width="15.875" style="2"/>
    <col min="1281" max="1281" width="13.375" style="2" customWidth="1"/>
    <col min="1282" max="1282" width="5.875" style="2" customWidth="1"/>
    <col min="1283" max="1283" width="7.125" style="2" customWidth="1"/>
    <col min="1284" max="1284" width="18.375" style="2" customWidth="1"/>
    <col min="1285" max="1286" width="15.875" style="2"/>
    <col min="1287" max="1287" width="18.375" style="2" customWidth="1"/>
    <col min="1288" max="1289" width="17.125" style="2" customWidth="1"/>
    <col min="1290" max="1536" width="15.875" style="2"/>
    <col min="1537" max="1537" width="13.375" style="2" customWidth="1"/>
    <col min="1538" max="1538" width="5.875" style="2" customWidth="1"/>
    <col min="1539" max="1539" width="7.125" style="2" customWidth="1"/>
    <col min="1540" max="1540" width="18.375" style="2" customWidth="1"/>
    <col min="1541" max="1542" width="15.875" style="2"/>
    <col min="1543" max="1543" width="18.375" style="2" customWidth="1"/>
    <col min="1544" max="1545" width="17.125" style="2" customWidth="1"/>
    <col min="1546" max="1792" width="15.875" style="2"/>
    <col min="1793" max="1793" width="13.375" style="2" customWidth="1"/>
    <col min="1794" max="1794" width="5.875" style="2" customWidth="1"/>
    <col min="1795" max="1795" width="7.125" style="2" customWidth="1"/>
    <col min="1796" max="1796" width="18.375" style="2" customWidth="1"/>
    <col min="1797" max="1798" width="15.875" style="2"/>
    <col min="1799" max="1799" width="18.375" style="2" customWidth="1"/>
    <col min="1800" max="1801" width="17.125" style="2" customWidth="1"/>
    <col min="1802" max="2048" width="15.875" style="2"/>
    <col min="2049" max="2049" width="13.375" style="2" customWidth="1"/>
    <col min="2050" max="2050" width="5.875" style="2" customWidth="1"/>
    <col min="2051" max="2051" width="7.125" style="2" customWidth="1"/>
    <col min="2052" max="2052" width="18.375" style="2" customWidth="1"/>
    <col min="2053" max="2054" width="15.875" style="2"/>
    <col min="2055" max="2055" width="18.375" style="2" customWidth="1"/>
    <col min="2056" max="2057" width="17.125" style="2" customWidth="1"/>
    <col min="2058" max="2304" width="15.875" style="2"/>
    <col min="2305" max="2305" width="13.375" style="2" customWidth="1"/>
    <col min="2306" max="2306" width="5.875" style="2" customWidth="1"/>
    <col min="2307" max="2307" width="7.125" style="2" customWidth="1"/>
    <col min="2308" max="2308" width="18.375" style="2" customWidth="1"/>
    <col min="2309" max="2310" width="15.875" style="2"/>
    <col min="2311" max="2311" width="18.375" style="2" customWidth="1"/>
    <col min="2312" max="2313" width="17.125" style="2" customWidth="1"/>
    <col min="2314" max="2560" width="15.875" style="2"/>
    <col min="2561" max="2561" width="13.375" style="2" customWidth="1"/>
    <col min="2562" max="2562" width="5.875" style="2" customWidth="1"/>
    <col min="2563" max="2563" width="7.125" style="2" customWidth="1"/>
    <col min="2564" max="2564" width="18.375" style="2" customWidth="1"/>
    <col min="2565" max="2566" width="15.875" style="2"/>
    <col min="2567" max="2567" width="18.375" style="2" customWidth="1"/>
    <col min="2568" max="2569" width="17.125" style="2" customWidth="1"/>
    <col min="2570" max="2816" width="15.875" style="2"/>
    <col min="2817" max="2817" width="13.375" style="2" customWidth="1"/>
    <col min="2818" max="2818" width="5.875" style="2" customWidth="1"/>
    <col min="2819" max="2819" width="7.125" style="2" customWidth="1"/>
    <col min="2820" max="2820" width="18.375" style="2" customWidth="1"/>
    <col min="2821" max="2822" width="15.875" style="2"/>
    <col min="2823" max="2823" width="18.375" style="2" customWidth="1"/>
    <col min="2824" max="2825" width="17.125" style="2" customWidth="1"/>
    <col min="2826" max="3072" width="15.875" style="2"/>
    <col min="3073" max="3073" width="13.375" style="2" customWidth="1"/>
    <col min="3074" max="3074" width="5.875" style="2" customWidth="1"/>
    <col min="3075" max="3075" width="7.125" style="2" customWidth="1"/>
    <col min="3076" max="3076" width="18.375" style="2" customWidth="1"/>
    <col min="3077" max="3078" width="15.875" style="2"/>
    <col min="3079" max="3079" width="18.375" style="2" customWidth="1"/>
    <col min="3080" max="3081" width="17.125" style="2" customWidth="1"/>
    <col min="3082" max="3328" width="15.875" style="2"/>
    <col min="3329" max="3329" width="13.375" style="2" customWidth="1"/>
    <col min="3330" max="3330" width="5.875" style="2" customWidth="1"/>
    <col min="3331" max="3331" width="7.125" style="2" customWidth="1"/>
    <col min="3332" max="3332" width="18.375" style="2" customWidth="1"/>
    <col min="3333" max="3334" width="15.875" style="2"/>
    <col min="3335" max="3335" width="18.375" style="2" customWidth="1"/>
    <col min="3336" max="3337" width="17.125" style="2" customWidth="1"/>
    <col min="3338" max="3584" width="15.875" style="2"/>
    <col min="3585" max="3585" width="13.375" style="2" customWidth="1"/>
    <col min="3586" max="3586" width="5.875" style="2" customWidth="1"/>
    <col min="3587" max="3587" width="7.125" style="2" customWidth="1"/>
    <col min="3588" max="3588" width="18.375" style="2" customWidth="1"/>
    <col min="3589" max="3590" width="15.875" style="2"/>
    <col min="3591" max="3591" width="18.375" style="2" customWidth="1"/>
    <col min="3592" max="3593" width="17.125" style="2" customWidth="1"/>
    <col min="3594" max="3840" width="15.875" style="2"/>
    <col min="3841" max="3841" width="13.375" style="2" customWidth="1"/>
    <col min="3842" max="3842" width="5.875" style="2" customWidth="1"/>
    <col min="3843" max="3843" width="7.125" style="2" customWidth="1"/>
    <col min="3844" max="3844" width="18.375" style="2" customWidth="1"/>
    <col min="3845" max="3846" width="15.875" style="2"/>
    <col min="3847" max="3847" width="18.375" style="2" customWidth="1"/>
    <col min="3848" max="3849" width="17.125" style="2" customWidth="1"/>
    <col min="3850" max="4096" width="15.875" style="2"/>
    <col min="4097" max="4097" width="13.375" style="2" customWidth="1"/>
    <col min="4098" max="4098" width="5.875" style="2" customWidth="1"/>
    <col min="4099" max="4099" width="7.125" style="2" customWidth="1"/>
    <col min="4100" max="4100" width="18.375" style="2" customWidth="1"/>
    <col min="4101" max="4102" width="15.875" style="2"/>
    <col min="4103" max="4103" width="18.375" style="2" customWidth="1"/>
    <col min="4104" max="4105" width="17.125" style="2" customWidth="1"/>
    <col min="4106" max="4352" width="15.875" style="2"/>
    <col min="4353" max="4353" width="13.375" style="2" customWidth="1"/>
    <col min="4354" max="4354" width="5.875" style="2" customWidth="1"/>
    <col min="4355" max="4355" width="7.125" style="2" customWidth="1"/>
    <col min="4356" max="4356" width="18.375" style="2" customWidth="1"/>
    <col min="4357" max="4358" width="15.875" style="2"/>
    <col min="4359" max="4359" width="18.375" style="2" customWidth="1"/>
    <col min="4360" max="4361" width="17.125" style="2" customWidth="1"/>
    <col min="4362" max="4608" width="15.875" style="2"/>
    <col min="4609" max="4609" width="13.375" style="2" customWidth="1"/>
    <col min="4610" max="4610" width="5.875" style="2" customWidth="1"/>
    <col min="4611" max="4611" width="7.125" style="2" customWidth="1"/>
    <col min="4612" max="4612" width="18.375" style="2" customWidth="1"/>
    <col min="4613" max="4614" width="15.875" style="2"/>
    <col min="4615" max="4615" width="18.375" style="2" customWidth="1"/>
    <col min="4616" max="4617" width="17.125" style="2" customWidth="1"/>
    <col min="4618" max="4864" width="15.875" style="2"/>
    <col min="4865" max="4865" width="13.375" style="2" customWidth="1"/>
    <col min="4866" max="4866" width="5.875" style="2" customWidth="1"/>
    <col min="4867" max="4867" width="7.125" style="2" customWidth="1"/>
    <col min="4868" max="4868" width="18.375" style="2" customWidth="1"/>
    <col min="4869" max="4870" width="15.875" style="2"/>
    <col min="4871" max="4871" width="18.375" style="2" customWidth="1"/>
    <col min="4872" max="4873" width="17.125" style="2" customWidth="1"/>
    <col min="4874" max="5120" width="15.875" style="2"/>
    <col min="5121" max="5121" width="13.375" style="2" customWidth="1"/>
    <col min="5122" max="5122" width="5.875" style="2" customWidth="1"/>
    <col min="5123" max="5123" width="7.125" style="2" customWidth="1"/>
    <col min="5124" max="5124" width="18.375" style="2" customWidth="1"/>
    <col min="5125" max="5126" width="15.875" style="2"/>
    <col min="5127" max="5127" width="18.375" style="2" customWidth="1"/>
    <col min="5128" max="5129" width="17.125" style="2" customWidth="1"/>
    <col min="5130" max="5376" width="15.875" style="2"/>
    <col min="5377" max="5377" width="13.375" style="2" customWidth="1"/>
    <col min="5378" max="5378" width="5.875" style="2" customWidth="1"/>
    <col min="5379" max="5379" width="7.125" style="2" customWidth="1"/>
    <col min="5380" max="5380" width="18.375" style="2" customWidth="1"/>
    <col min="5381" max="5382" width="15.875" style="2"/>
    <col min="5383" max="5383" width="18.375" style="2" customWidth="1"/>
    <col min="5384" max="5385" width="17.125" style="2" customWidth="1"/>
    <col min="5386" max="5632" width="15.875" style="2"/>
    <col min="5633" max="5633" width="13.375" style="2" customWidth="1"/>
    <col min="5634" max="5634" width="5.875" style="2" customWidth="1"/>
    <col min="5635" max="5635" width="7.125" style="2" customWidth="1"/>
    <col min="5636" max="5636" width="18.375" style="2" customWidth="1"/>
    <col min="5637" max="5638" width="15.875" style="2"/>
    <col min="5639" max="5639" width="18.375" style="2" customWidth="1"/>
    <col min="5640" max="5641" width="17.125" style="2" customWidth="1"/>
    <col min="5642" max="5888" width="15.875" style="2"/>
    <col min="5889" max="5889" width="13.375" style="2" customWidth="1"/>
    <col min="5890" max="5890" width="5.875" style="2" customWidth="1"/>
    <col min="5891" max="5891" width="7.125" style="2" customWidth="1"/>
    <col min="5892" max="5892" width="18.375" style="2" customWidth="1"/>
    <col min="5893" max="5894" width="15.875" style="2"/>
    <col min="5895" max="5895" width="18.375" style="2" customWidth="1"/>
    <col min="5896" max="5897" width="17.125" style="2" customWidth="1"/>
    <col min="5898" max="6144" width="15.875" style="2"/>
    <col min="6145" max="6145" width="13.375" style="2" customWidth="1"/>
    <col min="6146" max="6146" width="5.875" style="2" customWidth="1"/>
    <col min="6147" max="6147" width="7.125" style="2" customWidth="1"/>
    <col min="6148" max="6148" width="18.375" style="2" customWidth="1"/>
    <col min="6149" max="6150" width="15.875" style="2"/>
    <col min="6151" max="6151" width="18.375" style="2" customWidth="1"/>
    <col min="6152" max="6153" width="17.125" style="2" customWidth="1"/>
    <col min="6154" max="6400" width="15.875" style="2"/>
    <col min="6401" max="6401" width="13.375" style="2" customWidth="1"/>
    <col min="6402" max="6402" width="5.875" style="2" customWidth="1"/>
    <col min="6403" max="6403" width="7.125" style="2" customWidth="1"/>
    <col min="6404" max="6404" width="18.375" style="2" customWidth="1"/>
    <col min="6405" max="6406" width="15.875" style="2"/>
    <col min="6407" max="6407" width="18.375" style="2" customWidth="1"/>
    <col min="6408" max="6409" width="17.125" style="2" customWidth="1"/>
    <col min="6410" max="6656" width="15.875" style="2"/>
    <col min="6657" max="6657" width="13.375" style="2" customWidth="1"/>
    <col min="6658" max="6658" width="5.875" style="2" customWidth="1"/>
    <col min="6659" max="6659" width="7.125" style="2" customWidth="1"/>
    <col min="6660" max="6660" width="18.375" style="2" customWidth="1"/>
    <col min="6661" max="6662" width="15.875" style="2"/>
    <col min="6663" max="6663" width="18.375" style="2" customWidth="1"/>
    <col min="6664" max="6665" width="17.125" style="2" customWidth="1"/>
    <col min="6666" max="6912" width="15.875" style="2"/>
    <col min="6913" max="6913" width="13.375" style="2" customWidth="1"/>
    <col min="6914" max="6914" width="5.875" style="2" customWidth="1"/>
    <col min="6915" max="6915" width="7.125" style="2" customWidth="1"/>
    <col min="6916" max="6916" width="18.375" style="2" customWidth="1"/>
    <col min="6917" max="6918" width="15.875" style="2"/>
    <col min="6919" max="6919" width="18.375" style="2" customWidth="1"/>
    <col min="6920" max="6921" width="17.125" style="2" customWidth="1"/>
    <col min="6922" max="7168" width="15.875" style="2"/>
    <col min="7169" max="7169" width="13.375" style="2" customWidth="1"/>
    <col min="7170" max="7170" width="5.875" style="2" customWidth="1"/>
    <col min="7171" max="7171" width="7.125" style="2" customWidth="1"/>
    <col min="7172" max="7172" width="18.375" style="2" customWidth="1"/>
    <col min="7173" max="7174" width="15.875" style="2"/>
    <col min="7175" max="7175" width="18.375" style="2" customWidth="1"/>
    <col min="7176" max="7177" width="17.125" style="2" customWidth="1"/>
    <col min="7178" max="7424" width="15.875" style="2"/>
    <col min="7425" max="7425" width="13.375" style="2" customWidth="1"/>
    <col min="7426" max="7426" width="5.875" style="2" customWidth="1"/>
    <col min="7427" max="7427" width="7.125" style="2" customWidth="1"/>
    <col min="7428" max="7428" width="18.375" style="2" customWidth="1"/>
    <col min="7429" max="7430" width="15.875" style="2"/>
    <col min="7431" max="7431" width="18.375" style="2" customWidth="1"/>
    <col min="7432" max="7433" width="17.125" style="2" customWidth="1"/>
    <col min="7434" max="7680" width="15.875" style="2"/>
    <col min="7681" max="7681" width="13.375" style="2" customWidth="1"/>
    <col min="7682" max="7682" width="5.875" style="2" customWidth="1"/>
    <col min="7683" max="7683" width="7.125" style="2" customWidth="1"/>
    <col min="7684" max="7684" width="18.375" style="2" customWidth="1"/>
    <col min="7685" max="7686" width="15.875" style="2"/>
    <col min="7687" max="7687" width="18.375" style="2" customWidth="1"/>
    <col min="7688" max="7689" width="17.125" style="2" customWidth="1"/>
    <col min="7690" max="7936" width="15.875" style="2"/>
    <col min="7937" max="7937" width="13.375" style="2" customWidth="1"/>
    <col min="7938" max="7938" width="5.875" style="2" customWidth="1"/>
    <col min="7939" max="7939" width="7.125" style="2" customWidth="1"/>
    <col min="7940" max="7940" width="18.375" style="2" customWidth="1"/>
    <col min="7941" max="7942" width="15.875" style="2"/>
    <col min="7943" max="7943" width="18.375" style="2" customWidth="1"/>
    <col min="7944" max="7945" width="17.125" style="2" customWidth="1"/>
    <col min="7946" max="8192" width="15.875" style="2"/>
    <col min="8193" max="8193" width="13.375" style="2" customWidth="1"/>
    <col min="8194" max="8194" width="5.875" style="2" customWidth="1"/>
    <col min="8195" max="8195" width="7.125" style="2" customWidth="1"/>
    <col min="8196" max="8196" width="18.375" style="2" customWidth="1"/>
    <col min="8197" max="8198" width="15.875" style="2"/>
    <col min="8199" max="8199" width="18.375" style="2" customWidth="1"/>
    <col min="8200" max="8201" width="17.125" style="2" customWidth="1"/>
    <col min="8202" max="8448" width="15.875" style="2"/>
    <col min="8449" max="8449" width="13.375" style="2" customWidth="1"/>
    <col min="8450" max="8450" width="5.875" style="2" customWidth="1"/>
    <col min="8451" max="8451" width="7.125" style="2" customWidth="1"/>
    <col min="8452" max="8452" width="18.375" style="2" customWidth="1"/>
    <col min="8453" max="8454" width="15.875" style="2"/>
    <col min="8455" max="8455" width="18.375" style="2" customWidth="1"/>
    <col min="8456" max="8457" width="17.125" style="2" customWidth="1"/>
    <col min="8458" max="8704" width="15.875" style="2"/>
    <col min="8705" max="8705" width="13.375" style="2" customWidth="1"/>
    <col min="8706" max="8706" width="5.875" style="2" customWidth="1"/>
    <col min="8707" max="8707" width="7.125" style="2" customWidth="1"/>
    <col min="8708" max="8708" width="18.375" style="2" customWidth="1"/>
    <col min="8709" max="8710" width="15.875" style="2"/>
    <col min="8711" max="8711" width="18.375" style="2" customWidth="1"/>
    <col min="8712" max="8713" width="17.125" style="2" customWidth="1"/>
    <col min="8714" max="8960" width="15.875" style="2"/>
    <col min="8961" max="8961" width="13.375" style="2" customWidth="1"/>
    <col min="8962" max="8962" width="5.875" style="2" customWidth="1"/>
    <col min="8963" max="8963" width="7.125" style="2" customWidth="1"/>
    <col min="8964" max="8964" width="18.375" style="2" customWidth="1"/>
    <col min="8965" max="8966" width="15.875" style="2"/>
    <col min="8967" max="8967" width="18.375" style="2" customWidth="1"/>
    <col min="8968" max="8969" width="17.125" style="2" customWidth="1"/>
    <col min="8970" max="9216" width="15.875" style="2"/>
    <col min="9217" max="9217" width="13.375" style="2" customWidth="1"/>
    <col min="9218" max="9218" width="5.875" style="2" customWidth="1"/>
    <col min="9219" max="9219" width="7.125" style="2" customWidth="1"/>
    <col min="9220" max="9220" width="18.375" style="2" customWidth="1"/>
    <col min="9221" max="9222" width="15.875" style="2"/>
    <col min="9223" max="9223" width="18.375" style="2" customWidth="1"/>
    <col min="9224" max="9225" width="17.125" style="2" customWidth="1"/>
    <col min="9226" max="9472" width="15.875" style="2"/>
    <col min="9473" max="9473" width="13.375" style="2" customWidth="1"/>
    <col min="9474" max="9474" width="5.875" style="2" customWidth="1"/>
    <col min="9475" max="9475" width="7.125" style="2" customWidth="1"/>
    <col min="9476" max="9476" width="18.375" style="2" customWidth="1"/>
    <col min="9477" max="9478" width="15.875" style="2"/>
    <col min="9479" max="9479" width="18.375" style="2" customWidth="1"/>
    <col min="9480" max="9481" width="17.125" style="2" customWidth="1"/>
    <col min="9482" max="9728" width="15.875" style="2"/>
    <col min="9729" max="9729" width="13.375" style="2" customWidth="1"/>
    <col min="9730" max="9730" width="5.875" style="2" customWidth="1"/>
    <col min="9731" max="9731" width="7.125" style="2" customWidth="1"/>
    <col min="9732" max="9732" width="18.375" style="2" customWidth="1"/>
    <col min="9733" max="9734" width="15.875" style="2"/>
    <col min="9735" max="9735" width="18.375" style="2" customWidth="1"/>
    <col min="9736" max="9737" width="17.125" style="2" customWidth="1"/>
    <col min="9738" max="9984" width="15.875" style="2"/>
    <col min="9985" max="9985" width="13.375" style="2" customWidth="1"/>
    <col min="9986" max="9986" width="5.875" style="2" customWidth="1"/>
    <col min="9987" max="9987" width="7.125" style="2" customWidth="1"/>
    <col min="9988" max="9988" width="18.375" style="2" customWidth="1"/>
    <col min="9989" max="9990" width="15.875" style="2"/>
    <col min="9991" max="9991" width="18.375" style="2" customWidth="1"/>
    <col min="9992" max="9993" width="17.125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7.125" style="2" customWidth="1"/>
    <col min="10244" max="10244" width="18.375" style="2" customWidth="1"/>
    <col min="10245" max="10246" width="15.875" style="2"/>
    <col min="10247" max="10247" width="18.375" style="2" customWidth="1"/>
    <col min="10248" max="10249" width="17.125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7.125" style="2" customWidth="1"/>
    <col min="10500" max="10500" width="18.375" style="2" customWidth="1"/>
    <col min="10501" max="10502" width="15.875" style="2"/>
    <col min="10503" max="10503" width="18.375" style="2" customWidth="1"/>
    <col min="10504" max="10505" width="17.125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7.125" style="2" customWidth="1"/>
    <col min="10756" max="10756" width="18.375" style="2" customWidth="1"/>
    <col min="10757" max="10758" width="15.875" style="2"/>
    <col min="10759" max="10759" width="18.375" style="2" customWidth="1"/>
    <col min="10760" max="10761" width="17.125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7.125" style="2" customWidth="1"/>
    <col min="11012" max="11012" width="18.375" style="2" customWidth="1"/>
    <col min="11013" max="11014" width="15.875" style="2"/>
    <col min="11015" max="11015" width="18.375" style="2" customWidth="1"/>
    <col min="11016" max="11017" width="17.125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7.125" style="2" customWidth="1"/>
    <col min="11268" max="11268" width="18.375" style="2" customWidth="1"/>
    <col min="11269" max="11270" width="15.875" style="2"/>
    <col min="11271" max="11271" width="18.375" style="2" customWidth="1"/>
    <col min="11272" max="11273" width="17.125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7.125" style="2" customWidth="1"/>
    <col min="11524" max="11524" width="18.375" style="2" customWidth="1"/>
    <col min="11525" max="11526" width="15.875" style="2"/>
    <col min="11527" max="11527" width="18.375" style="2" customWidth="1"/>
    <col min="11528" max="11529" width="17.125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7.125" style="2" customWidth="1"/>
    <col min="11780" max="11780" width="18.375" style="2" customWidth="1"/>
    <col min="11781" max="11782" width="15.875" style="2"/>
    <col min="11783" max="11783" width="18.375" style="2" customWidth="1"/>
    <col min="11784" max="11785" width="17.125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7.125" style="2" customWidth="1"/>
    <col min="12036" max="12036" width="18.375" style="2" customWidth="1"/>
    <col min="12037" max="12038" width="15.875" style="2"/>
    <col min="12039" max="12039" width="18.375" style="2" customWidth="1"/>
    <col min="12040" max="12041" width="17.125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7.125" style="2" customWidth="1"/>
    <col min="12292" max="12292" width="18.375" style="2" customWidth="1"/>
    <col min="12293" max="12294" width="15.875" style="2"/>
    <col min="12295" max="12295" width="18.375" style="2" customWidth="1"/>
    <col min="12296" max="12297" width="17.125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7.125" style="2" customWidth="1"/>
    <col min="12548" max="12548" width="18.375" style="2" customWidth="1"/>
    <col min="12549" max="12550" width="15.875" style="2"/>
    <col min="12551" max="12551" width="18.375" style="2" customWidth="1"/>
    <col min="12552" max="12553" width="17.125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7.125" style="2" customWidth="1"/>
    <col min="12804" max="12804" width="18.375" style="2" customWidth="1"/>
    <col min="12805" max="12806" width="15.875" style="2"/>
    <col min="12807" max="12807" width="18.375" style="2" customWidth="1"/>
    <col min="12808" max="12809" width="17.125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7.125" style="2" customWidth="1"/>
    <col min="13060" max="13060" width="18.375" style="2" customWidth="1"/>
    <col min="13061" max="13062" width="15.875" style="2"/>
    <col min="13063" max="13063" width="18.375" style="2" customWidth="1"/>
    <col min="13064" max="13065" width="17.125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7.125" style="2" customWidth="1"/>
    <col min="13316" max="13316" width="18.375" style="2" customWidth="1"/>
    <col min="13317" max="13318" width="15.875" style="2"/>
    <col min="13319" max="13319" width="18.375" style="2" customWidth="1"/>
    <col min="13320" max="13321" width="17.125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7.125" style="2" customWidth="1"/>
    <col min="13572" max="13572" width="18.375" style="2" customWidth="1"/>
    <col min="13573" max="13574" width="15.875" style="2"/>
    <col min="13575" max="13575" width="18.375" style="2" customWidth="1"/>
    <col min="13576" max="13577" width="17.125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7.125" style="2" customWidth="1"/>
    <col min="13828" max="13828" width="18.375" style="2" customWidth="1"/>
    <col min="13829" max="13830" width="15.875" style="2"/>
    <col min="13831" max="13831" width="18.375" style="2" customWidth="1"/>
    <col min="13832" max="13833" width="17.125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7.125" style="2" customWidth="1"/>
    <col min="14084" max="14084" width="18.375" style="2" customWidth="1"/>
    <col min="14085" max="14086" width="15.875" style="2"/>
    <col min="14087" max="14087" width="18.375" style="2" customWidth="1"/>
    <col min="14088" max="14089" width="17.125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7.125" style="2" customWidth="1"/>
    <col min="14340" max="14340" width="18.375" style="2" customWidth="1"/>
    <col min="14341" max="14342" width="15.875" style="2"/>
    <col min="14343" max="14343" width="18.375" style="2" customWidth="1"/>
    <col min="14344" max="14345" width="17.125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7.125" style="2" customWidth="1"/>
    <col min="14596" max="14596" width="18.375" style="2" customWidth="1"/>
    <col min="14597" max="14598" width="15.875" style="2"/>
    <col min="14599" max="14599" width="18.375" style="2" customWidth="1"/>
    <col min="14600" max="14601" width="17.125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7.125" style="2" customWidth="1"/>
    <col min="14852" max="14852" width="18.375" style="2" customWidth="1"/>
    <col min="14853" max="14854" width="15.875" style="2"/>
    <col min="14855" max="14855" width="18.375" style="2" customWidth="1"/>
    <col min="14856" max="14857" width="17.125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7.125" style="2" customWidth="1"/>
    <col min="15108" max="15108" width="18.375" style="2" customWidth="1"/>
    <col min="15109" max="15110" width="15.875" style="2"/>
    <col min="15111" max="15111" width="18.375" style="2" customWidth="1"/>
    <col min="15112" max="15113" width="17.125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7.125" style="2" customWidth="1"/>
    <col min="15364" max="15364" width="18.375" style="2" customWidth="1"/>
    <col min="15365" max="15366" width="15.875" style="2"/>
    <col min="15367" max="15367" width="18.375" style="2" customWidth="1"/>
    <col min="15368" max="15369" width="17.125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7.125" style="2" customWidth="1"/>
    <col min="15620" max="15620" width="18.375" style="2" customWidth="1"/>
    <col min="15621" max="15622" width="15.875" style="2"/>
    <col min="15623" max="15623" width="18.375" style="2" customWidth="1"/>
    <col min="15624" max="15625" width="17.125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7.125" style="2" customWidth="1"/>
    <col min="15876" max="15876" width="18.375" style="2" customWidth="1"/>
    <col min="15877" max="15878" width="15.875" style="2"/>
    <col min="15879" max="15879" width="18.375" style="2" customWidth="1"/>
    <col min="15880" max="15881" width="17.125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7.125" style="2" customWidth="1"/>
    <col min="16132" max="16132" width="18.375" style="2" customWidth="1"/>
    <col min="16133" max="16134" width="15.875" style="2"/>
    <col min="16135" max="16135" width="18.375" style="2" customWidth="1"/>
    <col min="16136" max="16137" width="17.125" style="2" customWidth="1"/>
    <col min="16138" max="16384" width="15.875" style="2"/>
  </cols>
  <sheetData>
    <row r="1" spans="1:10" x14ac:dyDescent="0.2">
      <c r="A1" s="1"/>
    </row>
    <row r="6" spans="1:10" x14ac:dyDescent="0.2">
      <c r="E6" s="4" t="s">
        <v>40</v>
      </c>
    </row>
    <row r="7" spans="1:10" x14ac:dyDescent="0.2">
      <c r="E7" s="1" t="s">
        <v>41</v>
      </c>
    </row>
    <row r="8" spans="1:10" x14ac:dyDescent="0.2">
      <c r="D8" s="1" t="s">
        <v>42</v>
      </c>
    </row>
    <row r="9" spans="1:10" x14ac:dyDescent="0.2">
      <c r="D9" s="1" t="s">
        <v>43</v>
      </c>
    </row>
    <row r="10" spans="1:10" x14ac:dyDescent="0.2">
      <c r="D10" s="1" t="s">
        <v>44</v>
      </c>
    </row>
    <row r="11" spans="1:10" x14ac:dyDescent="0.2">
      <c r="D11" s="1" t="s">
        <v>45</v>
      </c>
    </row>
    <row r="12" spans="1:10" x14ac:dyDescent="0.2">
      <c r="D12" s="1" t="s">
        <v>46</v>
      </c>
    </row>
    <row r="13" spans="1:10" x14ac:dyDescent="0.2">
      <c r="D13" s="1" t="s">
        <v>47</v>
      </c>
    </row>
    <row r="14" spans="1:10" x14ac:dyDescent="0.2">
      <c r="D14" s="1" t="s">
        <v>48</v>
      </c>
    </row>
    <row r="15" spans="1:10" ht="18" thickBot="1" x14ac:dyDescent="0.25">
      <c r="B15" s="5"/>
      <c r="C15" s="5"/>
      <c r="D15" s="35" t="s">
        <v>49</v>
      </c>
      <c r="E15" s="5"/>
      <c r="F15" s="5"/>
      <c r="G15" s="5"/>
      <c r="H15" s="5"/>
      <c r="I15" s="5"/>
      <c r="J15" s="5"/>
    </row>
    <row r="16" spans="1:10" x14ac:dyDescent="0.2">
      <c r="E16" s="9"/>
      <c r="F16" s="9"/>
      <c r="G16" s="9"/>
      <c r="H16" s="10" t="s">
        <v>50</v>
      </c>
      <c r="I16" s="10" t="s">
        <v>51</v>
      </c>
      <c r="J16" s="10" t="s">
        <v>52</v>
      </c>
    </row>
    <row r="17" spans="2:10" x14ac:dyDescent="0.2">
      <c r="B17" s="7"/>
      <c r="C17" s="7"/>
      <c r="D17" s="7"/>
      <c r="E17" s="12" t="s">
        <v>53</v>
      </c>
      <c r="F17" s="12" t="s">
        <v>54</v>
      </c>
      <c r="G17" s="12" t="s">
        <v>55</v>
      </c>
      <c r="H17" s="13" t="s">
        <v>56</v>
      </c>
      <c r="I17" s="13" t="s">
        <v>57</v>
      </c>
      <c r="J17" s="13" t="s">
        <v>58</v>
      </c>
    </row>
    <row r="18" spans="2:10" x14ac:dyDescent="0.2">
      <c r="E18" s="9"/>
      <c r="F18" s="15" t="s">
        <v>17</v>
      </c>
      <c r="G18" s="15" t="s">
        <v>16</v>
      </c>
      <c r="H18" s="15" t="s">
        <v>16</v>
      </c>
      <c r="I18" s="15" t="s">
        <v>16</v>
      </c>
      <c r="J18" s="15" t="s">
        <v>16</v>
      </c>
    </row>
    <row r="19" spans="2:10" x14ac:dyDescent="0.2">
      <c r="C19" s="1" t="s">
        <v>354</v>
      </c>
      <c r="E19" s="36">
        <v>3941</v>
      </c>
      <c r="F19" s="19">
        <v>74688</v>
      </c>
      <c r="G19" s="19">
        <v>269593</v>
      </c>
      <c r="H19" s="19">
        <v>1526219</v>
      </c>
      <c r="I19" s="19">
        <v>2551933</v>
      </c>
      <c r="J19" s="19">
        <v>775204</v>
      </c>
    </row>
    <row r="20" spans="2:10" x14ac:dyDescent="0.2">
      <c r="C20" s="1" t="s">
        <v>59</v>
      </c>
      <c r="D20" s="1" t="s">
        <v>355</v>
      </c>
      <c r="E20" s="36">
        <v>3824</v>
      </c>
      <c r="F20" s="19">
        <v>74276</v>
      </c>
      <c r="G20" s="19">
        <v>277827</v>
      </c>
      <c r="H20" s="19">
        <v>1349949</v>
      </c>
      <c r="I20" s="19">
        <v>2404812</v>
      </c>
      <c r="J20" s="19">
        <v>764407</v>
      </c>
    </row>
    <row r="21" spans="2:10" x14ac:dyDescent="0.2">
      <c r="D21" s="1" t="s">
        <v>356</v>
      </c>
      <c r="E21" s="36">
        <v>3772</v>
      </c>
      <c r="F21" s="19">
        <v>73403</v>
      </c>
      <c r="G21" s="19">
        <v>282038</v>
      </c>
      <c r="H21" s="19">
        <v>1220439</v>
      </c>
      <c r="I21" s="19">
        <v>2334818</v>
      </c>
      <c r="J21" s="19">
        <v>841299</v>
      </c>
    </row>
    <row r="22" spans="2:10" x14ac:dyDescent="0.2">
      <c r="D22" s="1" t="s">
        <v>60</v>
      </c>
      <c r="E22" s="36">
        <v>3544</v>
      </c>
      <c r="F22" s="19">
        <v>70337</v>
      </c>
      <c r="G22" s="19">
        <v>284813</v>
      </c>
      <c r="H22" s="19">
        <v>1145990</v>
      </c>
      <c r="I22" s="19">
        <v>2213349</v>
      </c>
      <c r="J22" s="19">
        <v>791703</v>
      </c>
    </row>
    <row r="23" spans="2:10" x14ac:dyDescent="0.2">
      <c r="E23" s="9"/>
    </row>
    <row r="24" spans="2:10" x14ac:dyDescent="0.2">
      <c r="D24" s="1" t="s">
        <v>61</v>
      </c>
      <c r="E24" s="36">
        <v>3507</v>
      </c>
      <c r="F24" s="19">
        <v>68765</v>
      </c>
      <c r="G24" s="19">
        <v>293072</v>
      </c>
      <c r="H24" s="19">
        <v>1170790</v>
      </c>
      <c r="I24" s="19">
        <v>2256008</v>
      </c>
      <c r="J24" s="19">
        <v>832405.4</v>
      </c>
    </row>
    <row r="25" spans="2:10" x14ac:dyDescent="0.2">
      <c r="D25" s="1" t="s">
        <v>62</v>
      </c>
      <c r="E25" s="36">
        <v>3348</v>
      </c>
      <c r="F25" s="19">
        <v>67136</v>
      </c>
      <c r="G25" s="19">
        <v>282407.7</v>
      </c>
      <c r="H25" s="19">
        <v>1186651</v>
      </c>
      <c r="I25" s="19">
        <v>2309148</v>
      </c>
      <c r="J25" s="19">
        <v>836383.8</v>
      </c>
    </row>
    <row r="26" spans="2:10" x14ac:dyDescent="0.2">
      <c r="C26" s="34"/>
      <c r="D26" s="4" t="s">
        <v>357</v>
      </c>
      <c r="E26" s="37">
        <f t="shared" ref="E26:J26" si="0">SUM(E29:E35)</f>
        <v>3202</v>
      </c>
      <c r="F26" s="34">
        <f t="shared" si="0"/>
        <v>65240</v>
      </c>
      <c r="G26" s="34">
        <f t="shared" si="0"/>
        <v>271714.59999999998</v>
      </c>
      <c r="H26" s="34">
        <f t="shared" si="0"/>
        <v>1221450.6000000001</v>
      </c>
      <c r="I26" s="34">
        <f t="shared" si="0"/>
        <v>2389522</v>
      </c>
      <c r="J26" s="34">
        <f t="shared" si="0"/>
        <v>861635</v>
      </c>
    </row>
    <row r="27" spans="2:10" x14ac:dyDescent="0.2">
      <c r="E27" s="9"/>
    </row>
    <row r="28" spans="2:10" x14ac:dyDescent="0.2">
      <c r="C28" s="1" t="s">
        <v>63</v>
      </c>
      <c r="E28" s="9"/>
    </row>
    <row r="29" spans="2:10" x14ac:dyDescent="0.2">
      <c r="B29" s="1" t="s">
        <v>64</v>
      </c>
      <c r="C29" s="34"/>
      <c r="E29" s="36">
        <v>1818</v>
      </c>
      <c r="F29" s="19">
        <v>11079</v>
      </c>
      <c r="G29" s="19">
        <v>27093.3</v>
      </c>
      <c r="H29" s="19">
        <v>62623.3</v>
      </c>
      <c r="I29" s="19">
        <v>121549</v>
      </c>
      <c r="J29" s="19">
        <v>57465</v>
      </c>
    </row>
    <row r="30" spans="2:10" x14ac:dyDescent="0.2">
      <c r="B30" s="1" t="s">
        <v>65</v>
      </c>
      <c r="C30" s="34"/>
      <c r="E30" s="36">
        <v>676</v>
      </c>
      <c r="F30" s="19">
        <v>9316</v>
      </c>
      <c r="G30" s="19">
        <v>30178.3</v>
      </c>
      <c r="H30" s="19">
        <v>75474.3</v>
      </c>
      <c r="I30" s="19">
        <v>139754</v>
      </c>
      <c r="J30" s="19">
        <v>59245</v>
      </c>
    </row>
    <row r="31" spans="2:10" x14ac:dyDescent="0.2">
      <c r="B31" s="1" t="s">
        <v>66</v>
      </c>
      <c r="C31" s="34"/>
      <c r="E31" s="36">
        <v>325</v>
      </c>
      <c r="F31" s="19">
        <v>7964</v>
      </c>
      <c r="G31" s="19">
        <v>28001</v>
      </c>
      <c r="H31" s="19">
        <v>84655</v>
      </c>
      <c r="I31" s="19">
        <v>150730</v>
      </c>
      <c r="J31" s="19">
        <v>61376</v>
      </c>
    </row>
    <row r="32" spans="2:10" x14ac:dyDescent="0.2">
      <c r="C32" s="34"/>
      <c r="E32" s="9"/>
    </row>
    <row r="33" spans="1:10" x14ac:dyDescent="0.2">
      <c r="B33" s="1" t="s">
        <v>67</v>
      </c>
      <c r="C33" s="34"/>
      <c r="E33" s="36">
        <v>306</v>
      </c>
      <c r="F33" s="19">
        <v>15990</v>
      </c>
      <c r="G33" s="19">
        <v>64307</v>
      </c>
      <c r="H33" s="19">
        <v>290348</v>
      </c>
      <c r="I33" s="19">
        <v>469450</v>
      </c>
      <c r="J33" s="19">
        <v>156428</v>
      </c>
    </row>
    <row r="34" spans="1:10" x14ac:dyDescent="0.2">
      <c r="B34" s="1" t="s">
        <v>68</v>
      </c>
      <c r="C34" s="34"/>
      <c r="E34" s="36">
        <v>66</v>
      </c>
      <c r="F34" s="19">
        <v>10063</v>
      </c>
      <c r="G34" s="19">
        <v>47035</v>
      </c>
      <c r="H34" s="19">
        <v>162740</v>
      </c>
      <c r="I34" s="19">
        <v>389281</v>
      </c>
      <c r="J34" s="19">
        <v>149072</v>
      </c>
    </row>
    <row r="35" spans="1:10" x14ac:dyDescent="0.2">
      <c r="B35" s="1" t="s">
        <v>69</v>
      </c>
      <c r="C35" s="34"/>
      <c r="E35" s="36">
        <v>11</v>
      </c>
      <c r="F35" s="19">
        <v>10828</v>
      </c>
      <c r="G35" s="19">
        <v>75100</v>
      </c>
      <c r="H35" s="19">
        <v>545610</v>
      </c>
      <c r="I35" s="19">
        <v>1118758</v>
      </c>
      <c r="J35" s="19">
        <v>378049</v>
      </c>
    </row>
    <row r="36" spans="1:10" ht="18" thickBot="1" x14ac:dyDescent="0.25">
      <c r="B36" s="5"/>
      <c r="C36" s="31"/>
      <c r="D36" s="5"/>
      <c r="E36" s="38"/>
      <c r="F36" s="5"/>
      <c r="G36" s="5"/>
      <c r="H36" s="5"/>
      <c r="I36" s="5"/>
      <c r="J36" s="5"/>
    </row>
    <row r="37" spans="1:10" x14ac:dyDescent="0.2">
      <c r="C37" s="34"/>
      <c r="E37" s="1" t="s">
        <v>70</v>
      </c>
      <c r="H37" s="1" t="s">
        <v>71</v>
      </c>
    </row>
    <row r="38" spans="1:10" x14ac:dyDescent="0.2">
      <c r="C38" s="34"/>
    </row>
    <row r="39" spans="1:10" x14ac:dyDescent="0.2">
      <c r="A39" s="34"/>
      <c r="C39" s="34"/>
    </row>
    <row r="40" spans="1:10" x14ac:dyDescent="0.2">
      <c r="A40" s="34"/>
      <c r="C40" s="34"/>
      <c r="E40" s="4" t="s">
        <v>72</v>
      </c>
      <c r="H40" s="1" t="s">
        <v>73</v>
      </c>
    </row>
    <row r="41" spans="1:10" ht="18" thickBot="1" x14ac:dyDescent="0.25">
      <c r="A41" s="34"/>
      <c r="B41" s="5"/>
      <c r="C41" s="31"/>
      <c r="D41" s="5"/>
      <c r="E41" s="35" t="s">
        <v>74</v>
      </c>
      <c r="F41" s="5"/>
      <c r="G41" s="5"/>
      <c r="H41" s="5"/>
      <c r="I41" s="5"/>
      <c r="J41" s="5"/>
    </row>
    <row r="42" spans="1:10" x14ac:dyDescent="0.2">
      <c r="A42" s="34"/>
      <c r="C42" s="34"/>
      <c r="E42" s="9"/>
      <c r="F42" s="3"/>
      <c r="G42" s="3"/>
      <c r="H42" s="3"/>
      <c r="I42" s="3"/>
      <c r="J42" s="3"/>
    </row>
    <row r="43" spans="1:10" x14ac:dyDescent="0.2">
      <c r="A43" s="34"/>
      <c r="C43" s="34"/>
      <c r="E43" s="6"/>
      <c r="F43" s="7"/>
      <c r="G43" s="39" t="s">
        <v>75</v>
      </c>
      <c r="H43" s="7"/>
      <c r="I43" s="7"/>
      <c r="J43" s="7"/>
    </row>
    <row r="44" spans="1:10" x14ac:dyDescent="0.2">
      <c r="E44" s="9"/>
      <c r="F44" s="9"/>
      <c r="G44" s="9"/>
      <c r="H44" s="10" t="s">
        <v>50</v>
      </c>
      <c r="I44" s="10" t="s">
        <v>51</v>
      </c>
      <c r="J44" s="10" t="s">
        <v>76</v>
      </c>
    </row>
    <row r="45" spans="1:10" x14ac:dyDescent="0.2">
      <c r="B45" s="7"/>
      <c r="C45" s="7"/>
      <c r="D45" s="7"/>
      <c r="E45" s="40" t="s">
        <v>53</v>
      </c>
      <c r="F45" s="40" t="s">
        <v>54</v>
      </c>
      <c r="G45" s="40" t="s">
        <v>55</v>
      </c>
      <c r="H45" s="13" t="s">
        <v>56</v>
      </c>
      <c r="I45" s="13" t="s">
        <v>57</v>
      </c>
      <c r="J45" s="13" t="s">
        <v>58</v>
      </c>
    </row>
    <row r="46" spans="1:10" x14ac:dyDescent="0.2">
      <c r="E46" s="9"/>
      <c r="F46" s="15" t="s">
        <v>17</v>
      </c>
      <c r="G46" s="15" t="s">
        <v>77</v>
      </c>
      <c r="H46" s="15" t="s">
        <v>77</v>
      </c>
      <c r="I46" s="15" t="s">
        <v>77</v>
      </c>
      <c r="J46" s="15" t="s">
        <v>77</v>
      </c>
    </row>
    <row r="47" spans="1:10" x14ac:dyDescent="0.2">
      <c r="C47" s="1" t="s">
        <v>78</v>
      </c>
      <c r="E47" s="41">
        <f t="shared" ref="E47:J51" si="1">E87+E116+E156+E185+E226+E255+E296+E325+E366+E395+E436+E465+E505+E534+E575+E604+E645+E674+E715+E744+E785+E814</f>
        <v>7395</v>
      </c>
      <c r="F47" s="42">
        <f t="shared" si="1"/>
        <v>87549</v>
      </c>
      <c r="G47" s="42">
        <f t="shared" si="1"/>
        <v>178375.99999999994</v>
      </c>
      <c r="H47" s="42">
        <f t="shared" si="1"/>
        <v>1210346.9999999995</v>
      </c>
      <c r="I47" s="42">
        <f t="shared" si="1"/>
        <v>1847606.9999999991</v>
      </c>
      <c r="J47" s="42">
        <f t="shared" si="1"/>
        <v>530937.00000000023</v>
      </c>
    </row>
    <row r="48" spans="1:10" x14ac:dyDescent="0.2">
      <c r="C48" s="1" t="s">
        <v>79</v>
      </c>
      <c r="E48" s="41">
        <f t="shared" si="1"/>
        <v>7266</v>
      </c>
      <c r="F48" s="42">
        <f t="shared" si="1"/>
        <v>85887</v>
      </c>
      <c r="G48" s="42">
        <f t="shared" si="1"/>
        <v>190685.99999999994</v>
      </c>
      <c r="H48" s="42">
        <f t="shared" si="1"/>
        <v>1440499.9999999995</v>
      </c>
      <c r="I48" s="42">
        <f t="shared" si="1"/>
        <v>2131180.9999999991</v>
      </c>
      <c r="J48" s="42">
        <f t="shared" si="1"/>
        <v>602369.60000000009</v>
      </c>
    </row>
    <row r="49" spans="3:10" x14ac:dyDescent="0.2">
      <c r="C49" s="1" t="s">
        <v>80</v>
      </c>
      <c r="E49" s="41">
        <f t="shared" si="1"/>
        <v>7082</v>
      </c>
      <c r="F49" s="42">
        <f t="shared" si="1"/>
        <v>84338</v>
      </c>
      <c r="G49" s="42">
        <f t="shared" si="1"/>
        <v>195136.7</v>
      </c>
      <c r="H49" s="42">
        <f t="shared" si="1"/>
        <v>1868994.3</v>
      </c>
      <c r="I49" s="42">
        <f>I89+I118+I158+I187+I228+I257+I298+I327+I368+I397+I438+I467+I507+I536+I577+I606+I647+I676+I717+I746+I787+I816+2</f>
        <v>2619803.4</v>
      </c>
      <c r="J49" s="42">
        <f>J89+J118+J158+J187+J228+J257+J298+J327+J368+J397+J438+J467+J507+J536+J577+J606+J647+J676+J717+J746+J787+J816</f>
        <v>666128.69999999995</v>
      </c>
    </row>
    <row r="50" spans="3:10" x14ac:dyDescent="0.2">
      <c r="C50" s="1" t="s">
        <v>81</v>
      </c>
      <c r="E50" s="41">
        <f t="shared" si="1"/>
        <v>4461</v>
      </c>
      <c r="F50" s="42">
        <f t="shared" si="1"/>
        <v>81340</v>
      </c>
      <c r="G50" s="42">
        <f t="shared" si="1"/>
        <v>214930.7</v>
      </c>
      <c r="H50" s="42">
        <f t="shared" si="1"/>
        <v>1923411.4</v>
      </c>
      <c r="I50" s="42">
        <f>I90+I119+I159+I188+I229+I258+I299+I328+I369+I398+I439+I468+I508+I537+I578+I607+I648+I677+I718+I747+I788+I817</f>
        <v>2838530.3</v>
      </c>
      <c r="J50" s="42">
        <f>J90+J119+J159+J188+J229+J258+J299+J328+J369+J398+J439+J468+J508+J537+J578+J607+J648+J677+J718+J747+J788+J817</f>
        <v>801854</v>
      </c>
    </row>
    <row r="51" spans="3:10" x14ac:dyDescent="0.2">
      <c r="C51" s="1" t="s">
        <v>82</v>
      </c>
      <c r="E51" s="41">
        <f t="shared" si="1"/>
        <v>4446</v>
      </c>
      <c r="F51" s="42">
        <f t="shared" si="1"/>
        <v>80340</v>
      </c>
      <c r="G51" s="42">
        <f t="shared" si="1"/>
        <v>224505.8</v>
      </c>
      <c r="H51" s="42">
        <f t="shared" si="1"/>
        <v>1911782</v>
      </c>
      <c r="I51" s="42">
        <f>I91+I120+I160+I189+I230+I259+I300+I329+I370+I399+I440+I469+I509+I538+I579+I608+I649+I678+I719+I748+I789+I818</f>
        <v>2849572.6</v>
      </c>
      <c r="J51" s="42">
        <f>J91+J120+J160+J189+J230+J259+J300+J329+J370+J399+J440+J469+J509+J538+J579+J608+J649+J678+J719+J748+J789+J818</f>
        <v>808061</v>
      </c>
    </row>
    <row r="52" spans="3:10" x14ac:dyDescent="0.2">
      <c r="E52" s="9"/>
    </row>
    <row r="53" spans="3:10" x14ac:dyDescent="0.2">
      <c r="C53" s="1" t="s">
        <v>83</v>
      </c>
      <c r="E53" s="41">
        <f t="shared" ref="E53:J57" si="2">E93+E122+E162+E191+E232+E261+E302+E331+E372+E401+E442+E471+E511+E540+E581+E610+E651+E680+E721+E750+E791+E820</f>
        <v>4337</v>
      </c>
      <c r="F53" s="42">
        <f t="shared" si="2"/>
        <v>79125</v>
      </c>
      <c r="G53" s="42">
        <f t="shared" si="2"/>
        <v>225464.4</v>
      </c>
      <c r="H53" s="42">
        <f t="shared" si="2"/>
        <v>1700727.4</v>
      </c>
      <c r="I53" s="42">
        <f t="shared" si="2"/>
        <v>2400139</v>
      </c>
      <c r="J53" s="42">
        <f t="shared" si="2"/>
        <v>593593.4</v>
      </c>
    </row>
    <row r="54" spans="3:10" x14ac:dyDescent="0.2">
      <c r="C54" s="1" t="s">
        <v>84</v>
      </c>
      <c r="E54" s="41">
        <f t="shared" si="2"/>
        <v>4104</v>
      </c>
      <c r="F54" s="42">
        <f t="shared" si="2"/>
        <v>77195</v>
      </c>
      <c r="G54" s="42">
        <f t="shared" si="2"/>
        <v>221754.3</v>
      </c>
      <c r="H54" s="42">
        <f t="shared" si="2"/>
        <v>1722660.7</v>
      </c>
      <c r="I54" s="42">
        <f>I94+I123+I163+I192+I233+I262+I303+I332+I373+I402+I443+I472+I512+I541+I582+I611+I652+I681+I722+I751+I792+I821+1</f>
        <v>2514611.6</v>
      </c>
      <c r="J54" s="42">
        <f>J94+J123+J163+J192+J233+J262+J303+J332+J373+J402+J443+J472+J512+J541+J582+J611+J652+J681+J722+J751+J792+J821</f>
        <v>683052.3</v>
      </c>
    </row>
    <row r="55" spans="3:10" x14ac:dyDescent="0.2">
      <c r="C55" s="1" t="s">
        <v>85</v>
      </c>
      <c r="E55" s="41">
        <f t="shared" si="2"/>
        <v>4164</v>
      </c>
      <c r="F55" s="42">
        <f t="shared" si="2"/>
        <v>77833</v>
      </c>
      <c r="G55" s="42">
        <f t="shared" si="2"/>
        <v>242126.7</v>
      </c>
      <c r="H55" s="42">
        <f t="shared" si="2"/>
        <v>1744848</v>
      </c>
      <c r="I55" s="42">
        <f>I95+I124+I164+I193+I234+I263+I304+I333+I374+I403+I444+I473+I513+I542+I583+I612+I653+I682+I723+I752+I793+I822</f>
        <v>2613133.4</v>
      </c>
      <c r="J55" s="42">
        <f>J95+J124+J164+J193+J234+J263+J304+J333+J374+J403+J444+J473+J513+J542+J583+J612+J653+J682+J723+J752+J793+J822</f>
        <v>720803</v>
      </c>
    </row>
    <row r="56" spans="3:10" x14ac:dyDescent="0.2">
      <c r="C56" s="1" t="s">
        <v>86</v>
      </c>
      <c r="E56" s="41">
        <f t="shared" si="2"/>
        <v>4186</v>
      </c>
      <c r="F56" s="42">
        <f t="shared" si="2"/>
        <v>77197</v>
      </c>
      <c r="G56" s="42">
        <f t="shared" si="2"/>
        <v>240316.3</v>
      </c>
      <c r="H56" s="42">
        <f t="shared" si="2"/>
        <v>1271096.7</v>
      </c>
      <c r="I56" s="42">
        <f>I96+I125+I165+I194+I235+I264+I305+I334+I375+I404+I445+I474+I514+I543+I584+I613+I654+I683+I724+I753+I794+I823</f>
        <v>2126131.2999999998</v>
      </c>
      <c r="J56" s="42">
        <f>J96+J125+J165+J194+J235+J264+J305+J334+J375+J404+J445+J474+J514+J543+J584+J613+J654+J683+J724+J753+J794+J823</f>
        <v>650174.30000000005</v>
      </c>
    </row>
    <row r="57" spans="3:10" x14ac:dyDescent="0.2">
      <c r="C57" s="1" t="s">
        <v>87</v>
      </c>
      <c r="E57" s="41">
        <f t="shared" si="2"/>
        <v>4040</v>
      </c>
      <c r="F57" s="42">
        <f t="shared" si="2"/>
        <v>75475</v>
      </c>
      <c r="G57" s="42">
        <f t="shared" si="2"/>
        <v>236620</v>
      </c>
      <c r="H57" s="42">
        <f t="shared" si="2"/>
        <v>1208070.3</v>
      </c>
      <c r="I57" s="42">
        <f>I97+I126+I166+I195+I236+I265+I306+I335+I376+I405+I446+I475+I515+I544+I585+I614+I655+I684+I725+I754+I795+I824-3</f>
        <v>2012542.7</v>
      </c>
      <c r="J57" s="42">
        <f>J97+J126+J166+J195+J236+J265+J306+J335+J376+J405+J446+J475+J515+J544+J585+J614+J655+J684+J725+J754+J795+J824</f>
        <v>616148.69999999995</v>
      </c>
    </row>
    <row r="58" spans="3:10" x14ac:dyDescent="0.2">
      <c r="E58" s="9"/>
    </row>
    <row r="59" spans="3:10" x14ac:dyDescent="0.2">
      <c r="C59" s="1" t="s">
        <v>88</v>
      </c>
      <c r="E59" s="41">
        <f t="shared" ref="E59:J63" si="3">E99+E128+E168+E197+E238+E267+E308+E337+E378+E407+E448+E477+E517+E546+E587+E616+E657+E686+E727+E756+E797+E826</f>
        <v>4110</v>
      </c>
      <c r="F59" s="42">
        <f t="shared" si="3"/>
        <v>75098</v>
      </c>
      <c r="G59" s="42">
        <f t="shared" si="3"/>
        <v>244123</v>
      </c>
      <c r="H59" s="42">
        <f t="shared" si="3"/>
        <v>1212246</v>
      </c>
      <c r="I59" s="42">
        <f t="shared" si="3"/>
        <v>2118716.7000000002</v>
      </c>
      <c r="J59" s="42">
        <f t="shared" si="3"/>
        <v>693009</v>
      </c>
    </row>
    <row r="60" spans="3:10" x14ac:dyDescent="0.2">
      <c r="C60" s="1" t="s">
        <v>89</v>
      </c>
      <c r="E60" s="41">
        <f t="shared" si="3"/>
        <v>3960</v>
      </c>
      <c r="F60" s="42">
        <f t="shared" si="3"/>
        <v>73240</v>
      </c>
      <c r="G60" s="42">
        <f t="shared" si="3"/>
        <v>245527.7</v>
      </c>
      <c r="H60" s="42">
        <f t="shared" si="3"/>
        <v>1365002.4</v>
      </c>
      <c r="I60" s="42">
        <f t="shared" si="3"/>
        <v>2280044.2999999998</v>
      </c>
      <c r="J60" s="42">
        <f t="shared" si="3"/>
        <v>696312.3</v>
      </c>
    </row>
    <row r="61" spans="3:10" x14ac:dyDescent="0.2">
      <c r="C61" s="1" t="s">
        <v>90</v>
      </c>
      <c r="E61" s="41">
        <f t="shared" si="3"/>
        <v>4087</v>
      </c>
      <c r="F61" s="42">
        <f t="shared" si="3"/>
        <v>75013</v>
      </c>
      <c r="G61" s="42">
        <f t="shared" si="3"/>
        <v>260529.7</v>
      </c>
      <c r="H61" s="42">
        <f t="shared" si="3"/>
        <v>1515541</v>
      </c>
      <c r="I61" s="42">
        <f>I101+I130+I170+I199+I240+I269+I310+I339+I380+I409+I450+I479+I519+I548+I589+I618+I659+I688+I729+I758+I799+I828+2</f>
        <v>2501355.4</v>
      </c>
      <c r="J61" s="42">
        <f>J101+J130+J170+J199+J240+J269+J310+J339+J380+J409+J450+J479+J519+J548+J589+J618+J659+J688+J729+J758+J799+J828</f>
        <v>739074</v>
      </c>
    </row>
    <row r="62" spans="3:10" x14ac:dyDescent="0.2">
      <c r="C62" s="1" t="s">
        <v>91</v>
      </c>
      <c r="E62" s="41">
        <f t="shared" si="3"/>
        <v>3941</v>
      </c>
      <c r="F62" s="42">
        <f t="shared" si="3"/>
        <v>74688</v>
      </c>
      <c r="G62" s="42">
        <f t="shared" si="3"/>
        <v>269593.3</v>
      </c>
      <c r="H62" s="42">
        <f t="shared" si="3"/>
        <v>1526218.7</v>
      </c>
      <c r="I62" s="42">
        <f>I102+I131+I171+I200+I241+I270+I311+I340+I381+I410+I451+I480+I520+I549+I590+I619+I660+I689+I730+I759+I800+I829-1</f>
        <v>2551932.6</v>
      </c>
      <c r="J62" s="42">
        <f>J102+J131+J171+J200+J241+J270+J311+J340+J381+J410+J451+J480+J520+J549+J590+J619+J660+J689+J730+J759+J800+J829</f>
        <v>775203.7</v>
      </c>
    </row>
    <row r="63" spans="3:10" x14ac:dyDescent="0.2">
      <c r="C63" s="1" t="s">
        <v>92</v>
      </c>
      <c r="E63" s="41">
        <f t="shared" si="3"/>
        <v>3824</v>
      </c>
      <c r="F63" s="42">
        <f t="shared" si="3"/>
        <v>74276</v>
      </c>
      <c r="G63" s="42">
        <f t="shared" si="3"/>
        <v>277827</v>
      </c>
      <c r="H63" s="42">
        <f t="shared" si="3"/>
        <v>1349949.2</v>
      </c>
      <c r="I63" s="42">
        <f>I103+I132+I172+I201+I242+I271+I312+I341+I382+I411+I452+I481+I521+I550+I591+I620+I661+I690+I731+I760+I801+I830+2</f>
        <v>2404812.4000000004</v>
      </c>
      <c r="J63" s="42">
        <f>J103+J132+J172+J201+J242+J271+J312+J341+J382+J411+J452+J481+J521+J550+J591+J620+J661+J690+J731+J760+J801+J830</f>
        <v>764407.3</v>
      </c>
    </row>
    <row r="64" spans="3:10" x14ac:dyDescent="0.2">
      <c r="E64" s="9"/>
    </row>
    <row r="65" spans="1:10" x14ac:dyDescent="0.2">
      <c r="C65" s="1" t="s">
        <v>93</v>
      </c>
      <c r="E65" s="41">
        <f t="shared" ref="E65:H68" si="4">E105+E134+E174+E203+E244+E273+E314+E343+E384+E413+E454+E483+E523+E552+E593+E622+E663+E692+E733+E762+E803+E832</f>
        <v>3772</v>
      </c>
      <c r="F65" s="42">
        <f t="shared" si="4"/>
        <v>73403</v>
      </c>
      <c r="G65" s="42">
        <f t="shared" si="4"/>
        <v>282038</v>
      </c>
      <c r="H65" s="42">
        <f t="shared" si="4"/>
        <v>1220439.3</v>
      </c>
      <c r="I65" s="42">
        <f>I105+I134+I174+I203+I244+I273+I314+I343+I384+I413+I454+I483+I523+I552+I593+I622+I663+I692+I733+I762+I803+I832+2</f>
        <v>2334818.2000000002</v>
      </c>
      <c r="J65" s="42">
        <f>J105+J134+J174+J203+J244+J273+J314+J343+J384+J413+J454+J483+J523+J552+J593+J622+J663+J692+J733+J762+J803+J832</f>
        <v>841298.5</v>
      </c>
    </row>
    <row r="66" spans="1:10" x14ac:dyDescent="0.2">
      <c r="C66" s="1" t="s">
        <v>94</v>
      </c>
      <c r="E66" s="43">
        <f t="shared" si="4"/>
        <v>3544</v>
      </c>
      <c r="F66" s="44">
        <f t="shared" si="4"/>
        <v>70337</v>
      </c>
      <c r="G66" s="44">
        <f t="shared" si="4"/>
        <v>284813</v>
      </c>
      <c r="H66" s="44">
        <f t="shared" si="4"/>
        <v>1145990</v>
      </c>
      <c r="I66" s="44">
        <f>I106+I135+I175+I204+I245+I274+I315+I344+I385+I414+I455+I484+I524+I553+I594+I623+I664+I693+I734+I763+I804+I833</f>
        <v>2213348.6</v>
      </c>
      <c r="J66" s="44">
        <f>J106+J135+J175+J204+J245+J274+J315+J344+J385+J414+J455+J484+J524+J553+J594+J623+J664+J693+J734+J763+J804+J833</f>
        <v>791703.4</v>
      </c>
    </row>
    <row r="67" spans="1:10" x14ac:dyDescent="0.2">
      <c r="C67" s="1" t="s">
        <v>95</v>
      </c>
      <c r="E67" s="43">
        <f t="shared" si="4"/>
        <v>3507</v>
      </c>
      <c r="F67" s="44">
        <f t="shared" si="4"/>
        <v>68765</v>
      </c>
      <c r="G67" s="44">
        <f t="shared" si="4"/>
        <v>293071.59999999998</v>
      </c>
      <c r="H67" s="44">
        <f t="shared" si="4"/>
        <v>1170790.3</v>
      </c>
      <c r="I67" s="44">
        <f>I107+I136+I176+I205+I246+I275+I316+I345+I386+I415+I456+I485+I525+I554+I595+I624+I665+I694+I735+I764+I805+I834</f>
        <v>2256008.2000000002</v>
      </c>
      <c r="J67" s="44">
        <f>J107+J136+J176+J205+J246+J275+J316+J345+J386+J415+J456+J485+J525+J554+J595+J624+J665+J694+J735+J764+J805+J834</f>
        <v>832405</v>
      </c>
    </row>
    <row r="68" spans="1:10" x14ac:dyDescent="0.2">
      <c r="C68" s="1" t="s">
        <v>96</v>
      </c>
      <c r="E68" s="43">
        <f t="shared" si="4"/>
        <v>3348</v>
      </c>
      <c r="F68" s="44">
        <f t="shared" si="4"/>
        <v>67136</v>
      </c>
      <c r="G68" s="44">
        <f t="shared" si="4"/>
        <v>282408</v>
      </c>
      <c r="H68" s="44">
        <f t="shared" si="4"/>
        <v>1186651</v>
      </c>
      <c r="I68" s="44">
        <f>I108+I137+I177+I206+I247+I276+I317+I346+I387+I416+I457+I486+I526+I555+I596+I625+I666+I695+I736+I765+I806+I835</f>
        <v>2309148</v>
      </c>
      <c r="J68" s="44">
        <f>J108+J137+J177+J206+J247+J276+J317+J346+J387+J416+J457+J486+J526+J555+J596+J625+J666+J695+J736+J765+J806+J835</f>
        <v>836383.8</v>
      </c>
    </row>
    <row r="69" spans="1:10" x14ac:dyDescent="0.2">
      <c r="C69" s="4" t="s">
        <v>358</v>
      </c>
      <c r="D69" s="34"/>
      <c r="E69" s="45">
        <f>E109+E138+E178+E207+E248+E277+E318+E347+E388+E417+E458+E487+E527+E556+E597+E626+E667+E696+E737+E766+E807+E836</f>
        <v>3202</v>
      </c>
      <c r="F69" s="46">
        <f>F109+F138+F178+F207+F248+F277+F318+F347+F388+F417+F458+F487+F527+F556+F597+F626+F667+F696+F737+F766+F807+F836+2480</f>
        <v>65240</v>
      </c>
      <c r="G69" s="46">
        <f>G109+G138+G178+G207+G248+G277+G318+G347+G388+G417+G458+G487+G527+G556+G597+G626+G667+G696+G737+G766+G807+G836+7548</f>
        <v>271715</v>
      </c>
      <c r="H69" s="46">
        <f>H109+H138+H178+H207+H248+H277+H318+H347+H388+H417+H458+H487+H527+H556+H597+H626+H667+H696+H737+H766+H807+H836+15847</f>
        <v>1221451</v>
      </c>
      <c r="I69" s="46">
        <f>I109+I138+I178+I207+I248+I277+I318+I347+I388+I417+I458+I487+I527+I556+I597+I626+I667+I696+I737+I766+I807+I836+33184</f>
        <v>2389522</v>
      </c>
      <c r="J69" s="46">
        <f>J109+J138+J178+J207+J248+J277+J318+J347+J388+J417+J458+J487+J527+J556+J597+J626+J667+J696+J737+J766+J807+J836+15776</f>
        <v>861635</v>
      </c>
    </row>
    <row r="70" spans="1:10" ht="18" thickBot="1" x14ac:dyDescent="0.25">
      <c r="B70" s="5"/>
      <c r="C70" s="5"/>
      <c r="D70" s="5"/>
      <c r="E70" s="47"/>
      <c r="F70" s="48"/>
      <c r="G70" s="49"/>
      <c r="H70" s="49"/>
      <c r="I70" s="49"/>
      <c r="J70" s="49"/>
    </row>
    <row r="71" spans="1:10" x14ac:dyDescent="0.2">
      <c r="E71" s="1" t="s">
        <v>70</v>
      </c>
      <c r="H71" s="1" t="s">
        <v>98</v>
      </c>
    </row>
    <row r="72" spans="1:10" x14ac:dyDescent="0.2">
      <c r="H72" s="1" t="s">
        <v>99</v>
      </c>
    </row>
    <row r="73" spans="1:10" x14ac:dyDescent="0.2">
      <c r="A73" s="1"/>
    </row>
    <row r="74" spans="1:10" x14ac:dyDescent="0.2">
      <c r="A74" s="1"/>
    </row>
    <row r="79" spans="1:10" x14ac:dyDescent="0.2">
      <c r="F79" s="4" t="s">
        <v>100</v>
      </c>
    </row>
    <row r="80" spans="1:10" x14ac:dyDescent="0.2">
      <c r="F80" s="1" t="s">
        <v>101</v>
      </c>
    </row>
    <row r="81" spans="2:10" ht="18" thickBot="1" x14ac:dyDescent="0.25">
      <c r="B81" s="5"/>
      <c r="C81" s="5"/>
      <c r="D81" s="5"/>
      <c r="E81" s="5"/>
      <c r="F81" s="35" t="s">
        <v>102</v>
      </c>
      <c r="G81" s="5"/>
      <c r="H81" s="5"/>
      <c r="I81" s="5"/>
      <c r="J81" s="5"/>
    </row>
    <row r="82" spans="2:10" x14ac:dyDescent="0.2">
      <c r="E82" s="9"/>
      <c r="F82" s="3"/>
      <c r="G82" s="3"/>
      <c r="H82" s="3"/>
      <c r="I82" s="3"/>
      <c r="J82" s="3"/>
    </row>
    <row r="83" spans="2:10" x14ac:dyDescent="0.2">
      <c r="E83" s="6"/>
      <c r="F83" s="8" t="s">
        <v>103</v>
      </c>
      <c r="G83" s="7"/>
      <c r="H83" s="7"/>
      <c r="I83" s="7"/>
      <c r="J83" s="7"/>
    </row>
    <row r="84" spans="2:10" x14ac:dyDescent="0.2">
      <c r="E84" s="9"/>
      <c r="F84" s="9"/>
      <c r="G84" s="9"/>
      <c r="H84" s="10" t="s">
        <v>50</v>
      </c>
      <c r="I84" s="10" t="s">
        <v>51</v>
      </c>
      <c r="J84" s="10" t="s">
        <v>76</v>
      </c>
    </row>
    <row r="85" spans="2:10" x14ac:dyDescent="0.2">
      <c r="B85" s="7"/>
      <c r="C85" s="7"/>
      <c r="D85" s="7"/>
      <c r="E85" s="12" t="s">
        <v>53</v>
      </c>
      <c r="F85" s="12" t="s">
        <v>54</v>
      </c>
      <c r="G85" s="12" t="s">
        <v>55</v>
      </c>
      <c r="H85" s="13" t="s">
        <v>56</v>
      </c>
      <c r="I85" s="13" t="s">
        <v>57</v>
      </c>
      <c r="J85" s="13" t="s">
        <v>58</v>
      </c>
    </row>
    <row r="86" spans="2:10" x14ac:dyDescent="0.2">
      <c r="E86" s="9"/>
      <c r="F86" s="15" t="s">
        <v>17</v>
      </c>
      <c r="G86" s="15" t="s">
        <v>77</v>
      </c>
      <c r="H86" s="15" t="s">
        <v>77</v>
      </c>
      <c r="I86" s="15" t="s">
        <v>77</v>
      </c>
      <c r="J86" s="15" t="s">
        <v>77</v>
      </c>
    </row>
    <row r="87" spans="2:10" x14ac:dyDescent="0.2">
      <c r="C87" s="1" t="s">
        <v>78</v>
      </c>
      <c r="E87" s="36">
        <v>1207</v>
      </c>
      <c r="F87" s="19">
        <v>9309</v>
      </c>
      <c r="G87" s="19">
        <f>11845+0.4</f>
        <v>11845.4</v>
      </c>
      <c r="H87" s="19">
        <f>59628+0.4</f>
        <v>59628.4</v>
      </c>
      <c r="I87" s="19">
        <f>95284+0.4</f>
        <v>95284.4</v>
      </c>
      <c r="J87" s="19">
        <f>32810+0.4</f>
        <v>32810.400000000001</v>
      </c>
    </row>
    <row r="88" spans="2:10" x14ac:dyDescent="0.2">
      <c r="C88" s="1" t="s">
        <v>79</v>
      </c>
      <c r="E88" s="36">
        <v>1178</v>
      </c>
      <c r="F88" s="19">
        <v>9285</v>
      </c>
      <c r="G88" s="19">
        <f>12665+0.4</f>
        <v>12665.4</v>
      </c>
      <c r="H88" s="19">
        <f>64436+0.4</f>
        <v>64436.4</v>
      </c>
      <c r="I88" s="19">
        <f>101752+0.4</f>
        <v>101752.4</v>
      </c>
      <c r="J88" s="19">
        <f>34218+0.4</f>
        <v>34218.400000000001</v>
      </c>
    </row>
    <row r="89" spans="2:10" x14ac:dyDescent="0.2">
      <c r="C89" s="1" t="s">
        <v>80</v>
      </c>
      <c r="E89" s="36">
        <v>1161</v>
      </c>
      <c r="F89" s="19">
        <v>9245</v>
      </c>
      <c r="G89" s="19">
        <f>12906+0.4</f>
        <v>12906.4</v>
      </c>
      <c r="H89" s="19">
        <f>70363-0.4</f>
        <v>70362.600000000006</v>
      </c>
      <c r="I89" s="19">
        <f>109397-0.4</f>
        <v>109396.6</v>
      </c>
      <c r="J89" s="19">
        <f>36561+0.4</f>
        <v>36561.4</v>
      </c>
    </row>
    <row r="90" spans="2:10" x14ac:dyDescent="0.2">
      <c r="C90" s="1" t="s">
        <v>81</v>
      </c>
      <c r="E90" s="36">
        <v>672</v>
      </c>
      <c r="F90" s="19">
        <v>8425</v>
      </c>
      <c r="G90" s="19">
        <f>14439+0.4</f>
        <v>14439.4</v>
      </c>
      <c r="H90" s="19">
        <f>72703-0.4</f>
        <v>72702.600000000006</v>
      </c>
      <c r="I90" s="19">
        <f>112851-0.4</f>
        <v>112850.6</v>
      </c>
      <c r="J90" s="19">
        <v>36125</v>
      </c>
    </row>
    <row r="91" spans="2:10" x14ac:dyDescent="0.2">
      <c r="C91" s="1" t="s">
        <v>82</v>
      </c>
      <c r="E91" s="36">
        <v>676</v>
      </c>
      <c r="F91" s="19">
        <v>8486</v>
      </c>
      <c r="G91" s="19">
        <f>15027+0.4</f>
        <v>15027.4</v>
      </c>
      <c r="H91" s="19">
        <v>73099</v>
      </c>
      <c r="I91" s="19">
        <f>114941+0.4</f>
        <v>114941.4</v>
      </c>
      <c r="J91" s="19">
        <v>38059</v>
      </c>
    </row>
    <row r="92" spans="2:10" x14ac:dyDescent="0.2">
      <c r="E92" s="9"/>
    </row>
    <row r="93" spans="2:10" x14ac:dyDescent="0.2">
      <c r="C93" s="1" t="s">
        <v>83</v>
      </c>
      <c r="E93" s="36">
        <v>660</v>
      </c>
      <c r="F93" s="19">
        <v>8468</v>
      </c>
      <c r="G93" s="19">
        <f>15360-0.4</f>
        <v>15359.6</v>
      </c>
      <c r="H93" s="19">
        <f>75981-0.4</f>
        <v>75980.600000000006</v>
      </c>
      <c r="I93" s="19">
        <v>115686</v>
      </c>
      <c r="J93" s="19">
        <f>36341-0.4</f>
        <v>36340.6</v>
      </c>
    </row>
    <row r="94" spans="2:10" x14ac:dyDescent="0.2">
      <c r="C94" s="1" t="s">
        <v>84</v>
      </c>
      <c r="E94" s="36">
        <v>632</v>
      </c>
      <c r="F94" s="19">
        <v>8624</v>
      </c>
      <c r="G94" s="19">
        <f>15868-0.4</f>
        <v>15867.6</v>
      </c>
      <c r="H94" s="19">
        <f>78852+0.4</f>
        <v>78852.399999999994</v>
      </c>
      <c r="I94" s="19">
        <f>120359+0.4</f>
        <v>120359.4</v>
      </c>
      <c r="J94" s="19">
        <f>38449-0.4</f>
        <v>38448.6</v>
      </c>
    </row>
    <row r="95" spans="2:10" x14ac:dyDescent="0.2">
      <c r="C95" s="1" t="s">
        <v>85</v>
      </c>
      <c r="E95" s="36">
        <v>609</v>
      </c>
      <c r="F95" s="19">
        <v>7743</v>
      </c>
      <c r="G95" s="19">
        <f>14098+0.4</f>
        <v>14098.4</v>
      </c>
      <c r="H95" s="19">
        <v>62901</v>
      </c>
      <c r="I95" s="19">
        <f>98186-0.4</f>
        <v>98185.600000000006</v>
      </c>
      <c r="J95" s="19">
        <v>33927</v>
      </c>
    </row>
    <row r="96" spans="2:10" x14ac:dyDescent="0.2">
      <c r="C96" s="1" t="s">
        <v>86</v>
      </c>
      <c r="E96" s="36">
        <v>592</v>
      </c>
      <c r="F96" s="19">
        <v>7836</v>
      </c>
      <c r="G96" s="19">
        <f>14631-0.4</f>
        <v>14630.6</v>
      </c>
      <c r="H96" s="19">
        <f>62020+0.4</f>
        <v>62020.4</v>
      </c>
      <c r="I96" s="19">
        <f>97260-0.4</f>
        <v>97259.6</v>
      </c>
      <c r="J96" s="19">
        <f>33446-0.4</f>
        <v>33445.599999999999</v>
      </c>
    </row>
    <row r="97" spans="2:10" x14ac:dyDescent="0.2">
      <c r="C97" s="1" t="s">
        <v>87</v>
      </c>
      <c r="E97" s="36">
        <v>561</v>
      </c>
      <c r="F97" s="19">
        <v>7900</v>
      </c>
      <c r="G97" s="19">
        <v>15190</v>
      </c>
      <c r="H97" s="19">
        <f>63452-0.4</f>
        <v>63451.6</v>
      </c>
      <c r="I97" s="19">
        <f>100577+0.4</f>
        <v>100577.4</v>
      </c>
      <c r="J97" s="19">
        <f>35443+0.4</f>
        <v>35443.4</v>
      </c>
    </row>
    <row r="98" spans="2:10" x14ac:dyDescent="0.2">
      <c r="E98" s="9"/>
    </row>
    <row r="99" spans="2:10" x14ac:dyDescent="0.2">
      <c r="C99" s="1" t="s">
        <v>88</v>
      </c>
      <c r="E99" s="36">
        <v>582</v>
      </c>
      <c r="F99" s="19">
        <v>7930</v>
      </c>
      <c r="G99" s="19">
        <v>16142</v>
      </c>
      <c r="H99" s="19">
        <v>68214</v>
      </c>
      <c r="I99" s="19">
        <f>106522+0.4</f>
        <v>106522.4</v>
      </c>
      <c r="J99" s="19">
        <v>36655</v>
      </c>
    </row>
    <row r="100" spans="2:10" x14ac:dyDescent="0.2">
      <c r="C100" s="1" t="s">
        <v>89</v>
      </c>
      <c r="E100" s="36">
        <v>542</v>
      </c>
      <c r="F100" s="19">
        <v>7880</v>
      </c>
      <c r="G100" s="19">
        <f>16832+0.4</f>
        <v>16832.400000000001</v>
      </c>
      <c r="H100" s="19">
        <f>72117-0.4</f>
        <v>72116.600000000006</v>
      </c>
      <c r="I100" s="19">
        <f>114073-0.4</f>
        <v>114072.6</v>
      </c>
      <c r="J100" s="19">
        <f>39425-0.4</f>
        <v>39424.6</v>
      </c>
    </row>
    <row r="101" spans="2:10" x14ac:dyDescent="0.2">
      <c r="C101" s="1" t="s">
        <v>90</v>
      </c>
      <c r="E101" s="36">
        <v>580</v>
      </c>
      <c r="F101" s="19">
        <v>8140</v>
      </c>
      <c r="G101" s="19">
        <f>18416+0.4</f>
        <v>18416.400000000001</v>
      </c>
      <c r="H101" s="19">
        <v>79060</v>
      </c>
      <c r="I101" s="19">
        <f>123617-0.4</f>
        <v>123616.6</v>
      </c>
      <c r="J101" s="19">
        <v>41469</v>
      </c>
    </row>
    <row r="102" spans="2:10" x14ac:dyDescent="0.2">
      <c r="C102" s="1" t="s">
        <v>91</v>
      </c>
      <c r="E102" s="36">
        <v>549</v>
      </c>
      <c r="F102" s="19">
        <v>8093</v>
      </c>
      <c r="G102" s="19">
        <f>18691-0.4</f>
        <v>18690.599999999999</v>
      </c>
      <c r="H102" s="19">
        <f>84717+0.4</f>
        <v>84717.4</v>
      </c>
      <c r="I102" s="19">
        <f>134138+0.4</f>
        <v>134138.4</v>
      </c>
      <c r="J102" s="19">
        <f>46044+0.4</f>
        <v>46044.4</v>
      </c>
    </row>
    <row r="103" spans="2:10" x14ac:dyDescent="0.2">
      <c r="C103" s="1" t="s">
        <v>92</v>
      </c>
      <c r="E103" s="36">
        <v>546</v>
      </c>
      <c r="F103" s="19">
        <v>8169</v>
      </c>
      <c r="G103" s="19">
        <v>19629</v>
      </c>
      <c r="H103" s="19">
        <f>86590-0.4</f>
        <v>86589.6</v>
      </c>
      <c r="I103" s="19">
        <f>137518-0.4</f>
        <v>137517.6</v>
      </c>
      <c r="J103" s="19">
        <f>48680-0.4</f>
        <v>48679.6</v>
      </c>
    </row>
    <row r="104" spans="2:10" x14ac:dyDescent="0.2">
      <c r="E104" s="9"/>
    </row>
    <row r="105" spans="2:10" x14ac:dyDescent="0.2">
      <c r="C105" s="1" t="s">
        <v>93</v>
      </c>
      <c r="E105" s="36">
        <v>554</v>
      </c>
      <c r="F105" s="19">
        <v>8688</v>
      </c>
      <c r="G105" s="19">
        <f>20897+0.4</f>
        <v>20897.400000000001</v>
      </c>
      <c r="H105" s="19">
        <f>87274-0.4</f>
        <v>87273.600000000006</v>
      </c>
      <c r="I105" s="19">
        <f>143205-0.4</f>
        <v>143204.6</v>
      </c>
      <c r="J105" s="19">
        <f>51764+0.4</f>
        <v>51764.4</v>
      </c>
    </row>
    <row r="106" spans="2:10" x14ac:dyDescent="0.2">
      <c r="C106" s="1" t="s">
        <v>94</v>
      </c>
      <c r="E106" s="36">
        <v>526</v>
      </c>
      <c r="F106" s="19">
        <v>8725</v>
      </c>
      <c r="G106" s="19">
        <f>26869+0.4</f>
        <v>26869.4</v>
      </c>
      <c r="H106" s="19">
        <v>84332</v>
      </c>
      <c r="I106" s="19">
        <f>138704+0.2</f>
        <v>138704.20000000001</v>
      </c>
      <c r="J106" s="19">
        <f>50383-0.4</f>
        <v>50382.6</v>
      </c>
    </row>
    <row r="107" spans="2:10" x14ac:dyDescent="0.2">
      <c r="C107" s="1" t="s">
        <v>95</v>
      </c>
      <c r="E107" s="36">
        <v>535</v>
      </c>
      <c r="F107" s="19">
        <v>8687</v>
      </c>
      <c r="G107" s="19">
        <v>23079.4</v>
      </c>
      <c r="H107" s="19">
        <v>83904.5</v>
      </c>
      <c r="I107" s="19">
        <f>145688-0.4</f>
        <v>145687.6</v>
      </c>
      <c r="J107" s="19">
        <v>57438</v>
      </c>
    </row>
    <row r="108" spans="2:10" x14ac:dyDescent="0.2">
      <c r="C108" s="1" t="s">
        <v>96</v>
      </c>
      <c r="E108" s="36">
        <v>508</v>
      </c>
      <c r="F108" s="19">
        <v>8522</v>
      </c>
      <c r="G108" s="19">
        <v>22630</v>
      </c>
      <c r="H108" s="19">
        <v>87580</v>
      </c>
      <c r="I108" s="19">
        <v>149071.5</v>
      </c>
      <c r="J108" s="19">
        <v>57133.4</v>
      </c>
    </row>
    <row r="109" spans="2:10" x14ac:dyDescent="0.2">
      <c r="C109" s="4" t="s">
        <v>359</v>
      </c>
      <c r="D109" s="34"/>
      <c r="E109" s="50">
        <v>499</v>
      </c>
      <c r="F109" s="51">
        <v>8568</v>
      </c>
      <c r="G109" s="51">
        <v>22397</v>
      </c>
      <c r="H109" s="51">
        <v>89602</v>
      </c>
      <c r="I109" s="51">
        <v>149363</v>
      </c>
      <c r="J109" s="51">
        <v>55494</v>
      </c>
    </row>
    <row r="110" spans="2:10" ht="18" thickBot="1" x14ac:dyDescent="0.25">
      <c r="B110" s="5"/>
      <c r="C110" s="5"/>
      <c r="D110" s="5"/>
      <c r="E110" s="38"/>
      <c r="F110" s="5"/>
      <c r="G110" s="5"/>
      <c r="H110" s="5"/>
      <c r="I110" s="5"/>
      <c r="J110" s="5"/>
    </row>
    <row r="111" spans="2:10" x14ac:dyDescent="0.2">
      <c r="E111" s="9"/>
      <c r="F111" s="3"/>
      <c r="G111" s="3"/>
      <c r="H111" s="3"/>
      <c r="I111" s="3"/>
      <c r="J111" s="3"/>
    </row>
    <row r="112" spans="2:10" x14ac:dyDescent="0.2">
      <c r="E112" s="6"/>
      <c r="F112" s="8" t="s">
        <v>104</v>
      </c>
      <c r="G112" s="7"/>
      <c r="H112" s="7"/>
      <c r="I112" s="7"/>
      <c r="J112" s="7"/>
    </row>
    <row r="113" spans="2:10" x14ac:dyDescent="0.2">
      <c r="E113" s="9"/>
      <c r="F113" s="9"/>
      <c r="G113" s="9"/>
      <c r="H113" s="10" t="s">
        <v>50</v>
      </c>
      <c r="I113" s="10" t="s">
        <v>51</v>
      </c>
      <c r="J113" s="10" t="s">
        <v>76</v>
      </c>
    </row>
    <row r="114" spans="2:10" x14ac:dyDescent="0.2">
      <c r="B114" s="7"/>
      <c r="C114" s="7"/>
      <c r="D114" s="7"/>
      <c r="E114" s="12" t="s">
        <v>53</v>
      </c>
      <c r="F114" s="12" t="s">
        <v>54</v>
      </c>
      <c r="G114" s="12" t="s">
        <v>55</v>
      </c>
      <c r="H114" s="13" t="s">
        <v>56</v>
      </c>
      <c r="I114" s="13" t="s">
        <v>57</v>
      </c>
      <c r="J114" s="13" t="s">
        <v>58</v>
      </c>
    </row>
    <row r="115" spans="2:10" x14ac:dyDescent="0.2">
      <c r="E115" s="9"/>
      <c r="F115" s="15" t="s">
        <v>17</v>
      </c>
      <c r="G115" s="15" t="s">
        <v>77</v>
      </c>
      <c r="H115" s="15" t="s">
        <v>77</v>
      </c>
      <c r="I115" s="15" t="s">
        <v>77</v>
      </c>
      <c r="J115" s="15" t="s">
        <v>77</v>
      </c>
    </row>
    <row r="116" spans="2:10" x14ac:dyDescent="0.2">
      <c r="C116" s="1" t="s">
        <v>78</v>
      </c>
      <c r="E116" s="52" t="s">
        <v>360</v>
      </c>
      <c r="F116" s="53" t="s">
        <v>360</v>
      </c>
      <c r="G116" s="53" t="s">
        <v>360</v>
      </c>
      <c r="H116" s="53" t="s">
        <v>360</v>
      </c>
      <c r="I116" s="53" t="s">
        <v>360</v>
      </c>
      <c r="J116" s="53" t="s">
        <v>360</v>
      </c>
    </row>
    <row r="117" spans="2:10" x14ac:dyDescent="0.2">
      <c r="C117" s="1" t="s">
        <v>79</v>
      </c>
      <c r="E117" s="52" t="s">
        <v>360</v>
      </c>
      <c r="F117" s="53" t="s">
        <v>360</v>
      </c>
      <c r="G117" s="53" t="s">
        <v>360</v>
      </c>
      <c r="H117" s="53" t="s">
        <v>360</v>
      </c>
      <c r="I117" s="53" t="s">
        <v>360</v>
      </c>
      <c r="J117" s="53" t="s">
        <v>360</v>
      </c>
    </row>
    <row r="118" spans="2:10" x14ac:dyDescent="0.2">
      <c r="C118" s="1" t="s">
        <v>80</v>
      </c>
      <c r="E118" s="52" t="s">
        <v>360</v>
      </c>
      <c r="F118" s="53" t="s">
        <v>360</v>
      </c>
      <c r="G118" s="53" t="s">
        <v>360</v>
      </c>
      <c r="H118" s="53" t="s">
        <v>360</v>
      </c>
      <c r="I118" s="53" t="s">
        <v>360</v>
      </c>
      <c r="J118" s="53" t="s">
        <v>360</v>
      </c>
    </row>
    <row r="119" spans="2:10" x14ac:dyDescent="0.2">
      <c r="C119" s="1" t="s">
        <v>81</v>
      </c>
      <c r="E119" s="52" t="s">
        <v>360</v>
      </c>
      <c r="F119" s="53" t="s">
        <v>360</v>
      </c>
      <c r="G119" s="53" t="s">
        <v>360</v>
      </c>
      <c r="H119" s="53" t="s">
        <v>360</v>
      </c>
      <c r="I119" s="53" t="s">
        <v>360</v>
      </c>
      <c r="J119" s="53" t="s">
        <v>360</v>
      </c>
    </row>
    <row r="120" spans="2:10" x14ac:dyDescent="0.2">
      <c r="C120" s="1" t="s">
        <v>82</v>
      </c>
      <c r="E120" s="52" t="s">
        <v>360</v>
      </c>
      <c r="F120" s="53" t="s">
        <v>360</v>
      </c>
      <c r="G120" s="53" t="s">
        <v>360</v>
      </c>
      <c r="H120" s="53" t="s">
        <v>360</v>
      </c>
      <c r="I120" s="53" t="s">
        <v>360</v>
      </c>
      <c r="J120" s="53" t="s">
        <v>360</v>
      </c>
    </row>
    <row r="121" spans="2:10" x14ac:dyDescent="0.2">
      <c r="E121" s="9"/>
    </row>
    <row r="122" spans="2:10" x14ac:dyDescent="0.2">
      <c r="C122" s="1" t="s">
        <v>83</v>
      </c>
      <c r="E122" s="52" t="s">
        <v>360</v>
      </c>
      <c r="F122" s="53" t="s">
        <v>360</v>
      </c>
      <c r="G122" s="53" t="s">
        <v>360</v>
      </c>
      <c r="H122" s="53" t="s">
        <v>360</v>
      </c>
      <c r="I122" s="53" t="s">
        <v>360</v>
      </c>
      <c r="J122" s="53" t="s">
        <v>360</v>
      </c>
    </row>
    <row r="123" spans="2:10" x14ac:dyDescent="0.2">
      <c r="C123" s="1" t="s">
        <v>84</v>
      </c>
      <c r="E123" s="52" t="s">
        <v>360</v>
      </c>
      <c r="F123" s="53" t="s">
        <v>360</v>
      </c>
      <c r="G123" s="53" t="s">
        <v>360</v>
      </c>
      <c r="H123" s="53" t="s">
        <v>360</v>
      </c>
      <c r="I123" s="53" t="s">
        <v>360</v>
      </c>
      <c r="J123" s="53" t="s">
        <v>360</v>
      </c>
    </row>
    <row r="124" spans="2:10" x14ac:dyDescent="0.2">
      <c r="C124" s="1" t="s">
        <v>85</v>
      </c>
      <c r="E124" s="36">
        <v>60</v>
      </c>
      <c r="F124" s="19">
        <v>1551</v>
      </c>
      <c r="G124" s="19">
        <f>4724+0.3</f>
        <v>4724.3</v>
      </c>
      <c r="H124" s="19">
        <v>28440</v>
      </c>
      <c r="I124" s="19">
        <f>75550-0.4</f>
        <v>75549.600000000006</v>
      </c>
      <c r="J124" s="19">
        <v>20637</v>
      </c>
    </row>
    <row r="125" spans="2:10" x14ac:dyDescent="0.2">
      <c r="C125" s="1" t="s">
        <v>86</v>
      </c>
      <c r="E125" s="36">
        <v>57</v>
      </c>
      <c r="F125" s="19">
        <v>1517</v>
      </c>
      <c r="G125" s="19">
        <f>5318-0.3</f>
        <v>5317.7</v>
      </c>
      <c r="H125" s="19">
        <f>41226+0.3</f>
        <v>41226.300000000003</v>
      </c>
      <c r="I125" s="19">
        <f>81858-0.3</f>
        <v>81857.7</v>
      </c>
      <c r="J125" s="19">
        <f>12463-0.3</f>
        <v>12462.7</v>
      </c>
    </row>
    <row r="126" spans="2:10" x14ac:dyDescent="0.2">
      <c r="C126" s="1" t="s">
        <v>87</v>
      </c>
      <c r="E126" s="36">
        <v>59</v>
      </c>
      <c r="F126" s="19">
        <v>1587</v>
      </c>
      <c r="G126" s="19">
        <v>5479</v>
      </c>
      <c r="H126" s="19">
        <f>36702-0.3</f>
        <v>36701.699999999997</v>
      </c>
      <c r="I126" s="19">
        <f>78313+0.3</f>
        <v>78313.3</v>
      </c>
      <c r="J126" s="19">
        <f>14073+0.3</f>
        <v>14073.3</v>
      </c>
    </row>
    <row r="127" spans="2:10" x14ac:dyDescent="0.2">
      <c r="E127" s="9"/>
    </row>
    <row r="128" spans="2:10" x14ac:dyDescent="0.2">
      <c r="C128" s="1" t="s">
        <v>88</v>
      </c>
      <c r="E128" s="36">
        <v>62</v>
      </c>
      <c r="F128" s="19">
        <v>1545</v>
      </c>
      <c r="G128" s="19">
        <v>5820</v>
      </c>
      <c r="H128" s="19">
        <v>39862</v>
      </c>
      <c r="I128" s="19">
        <f>74127+0.3</f>
        <v>74127.3</v>
      </c>
      <c r="J128" s="19">
        <v>10202</v>
      </c>
    </row>
    <row r="129" spans="1:10" x14ac:dyDescent="0.2">
      <c r="C129" s="1" t="s">
        <v>89</v>
      </c>
      <c r="E129" s="36">
        <v>59</v>
      </c>
      <c r="F129" s="19">
        <v>1464</v>
      </c>
      <c r="G129" s="19">
        <f>5441+0.3</f>
        <v>5441.3</v>
      </c>
      <c r="H129" s="19">
        <f>33490-0.4</f>
        <v>33489.599999999999</v>
      </c>
      <c r="I129" s="19">
        <f>77282-0.3</f>
        <v>77281.7</v>
      </c>
      <c r="J129" s="19">
        <f>16438-0.3</f>
        <v>16437.7</v>
      </c>
    </row>
    <row r="130" spans="1:10" x14ac:dyDescent="0.2">
      <c r="C130" s="1" t="s">
        <v>90</v>
      </c>
      <c r="E130" s="36">
        <v>58</v>
      </c>
      <c r="F130" s="19">
        <v>1404</v>
      </c>
      <c r="G130" s="19">
        <f>6082+0.3</f>
        <v>6082.3</v>
      </c>
      <c r="H130" s="19">
        <v>38231</v>
      </c>
      <c r="I130" s="19">
        <f>113457-0.4</f>
        <v>113456.6</v>
      </c>
      <c r="J130" s="19">
        <v>19571</v>
      </c>
    </row>
    <row r="131" spans="1:10" x14ac:dyDescent="0.2">
      <c r="C131" s="1" t="s">
        <v>91</v>
      </c>
      <c r="E131" s="36">
        <v>52</v>
      </c>
      <c r="F131" s="19">
        <v>1275</v>
      </c>
      <c r="G131" s="19">
        <f>5176-0.3</f>
        <v>5175.7</v>
      </c>
      <c r="H131" s="19">
        <f>41799+0.3</f>
        <v>41799.300000000003</v>
      </c>
      <c r="I131" s="19">
        <f>110453+0.2</f>
        <v>110453.2</v>
      </c>
      <c r="J131" s="19">
        <f>17084+0.3</f>
        <v>17084.3</v>
      </c>
    </row>
    <row r="132" spans="1:10" x14ac:dyDescent="0.2">
      <c r="C132" s="1" t="s">
        <v>92</v>
      </c>
      <c r="E132" s="36">
        <v>53</v>
      </c>
      <c r="F132" s="19">
        <v>1329</v>
      </c>
      <c r="G132" s="19">
        <v>5647</v>
      </c>
      <c r="H132" s="19">
        <f>43799-0.4</f>
        <v>43798.6</v>
      </c>
      <c r="I132" s="19">
        <f>146037-0.4</f>
        <v>146036.6</v>
      </c>
      <c r="J132" s="19">
        <f>23034-0.3</f>
        <v>23033.7</v>
      </c>
    </row>
    <row r="133" spans="1:10" x14ac:dyDescent="0.2">
      <c r="E133" s="9"/>
    </row>
    <row r="134" spans="1:10" x14ac:dyDescent="0.2">
      <c r="C134" s="1" t="s">
        <v>93</v>
      </c>
      <c r="E134" s="36">
        <v>47</v>
      </c>
      <c r="F134" s="19">
        <v>1362</v>
      </c>
      <c r="G134" s="19">
        <f>6020+0.4</f>
        <v>6020.4</v>
      </c>
      <c r="H134" s="19">
        <f>43776-0.1</f>
        <v>43775.9</v>
      </c>
      <c r="I134" s="19">
        <v>143774</v>
      </c>
      <c r="J134" s="19">
        <f>20061+0.1</f>
        <v>20061.099999999999</v>
      </c>
    </row>
    <row r="135" spans="1:10" x14ac:dyDescent="0.2">
      <c r="C135" s="1" t="s">
        <v>94</v>
      </c>
      <c r="E135" s="36">
        <v>41</v>
      </c>
      <c r="F135" s="19">
        <v>1311</v>
      </c>
      <c r="G135" s="19">
        <f>6017+0.4</f>
        <v>6017.4</v>
      </c>
      <c r="H135" s="19">
        <v>49752</v>
      </c>
      <c r="I135" s="19">
        <f>146495+0.4</f>
        <v>146495.4</v>
      </c>
      <c r="J135" s="19">
        <f>20616-0.2</f>
        <v>20615.8</v>
      </c>
    </row>
    <row r="136" spans="1:10" x14ac:dyDescent="0.2">
      <c r="C136" s="1" t="s">
        <v>95</v>
      </c>
      <c r="E136" s="36">
        <v>46</v>
      </c>
      <c r="F136" s="19">
        <v>1314</v>
      </c>
      <c r="G136" s="19">
        <v>6441.2</v>
      </c>
      <c r="H136" s="19">
        <v>50122.8</v>
      </c>
      <c r="I136" s="19">
        <f>141794-0.4</f>
        <v>141793.60000000001</v>
      </c>
      <c r="J136" s="19">
        <v>29172</v>
      </c>
    </row>
    <row r="137" spans="1:10" x14ac:dyDescent="0.2">
      <c r="C137" s="1" t="s">
        <v>96</v>
      </c>
      <c r="E137" s="36">
        <v>43</v>
      </c>
      <c r="F137" s="19">
        <v>1348</v>
      </c>
      <c r="G137" s="19">
        <v>6493</v>
      </c>
      <c r="H137" s="19">
        <v>51449</v>
      </c>
      <c r="I137" s="19">
        <v>147351.5</v>
      </c>
      <c r="J137" s="19">
        <v>31829.4</v>
      </c>
    </row>
    <row r="138" spans="1:10" x14ac:dyDescent="0.2">
      <c r="B138" s="34"/>
      <c r="C138" s="4" t="s">
        <v>361</v>
      </c>
      <c r="D138" s="34"/>
      <c r="E138" s="50">
        <v>42</v>
      </c>
      <c r="F138" s="51">
        <v>1341</v>
      </c>
      <c r="G138" s="51">
        <v>6278</v>
      </c>
      <c r="H138" s="51">
        <v>51342</v>
      </c>
      <c r="I138" s="51">
        <v>149680</v>
      </c>
      <c r="J138" s="51">
        <v>32381</v>
      </c>
    </row>
    <row r="139" spans="1:10" ht="18" thickBot="1" x14ac:dyDescent="0.25">
      <c r="B139" s="5"/>
      <c r="C139" s="5"/>
      <c r="D139" s="5"/>
      <c r="E139" s="38"/>
      <c r="F139" s="5"/>
      <c r="G139" s="5"/>
      <c r="H139" s="5"/>
      <c r="I139" s="5"/>
      <c r="J139" s="5"/>
    </row>
    <row r="140" spans="1:10" x14ac:dyDescent="0.2">
      <c r="E140" s="1" t="s">
        <v>70</v>
      </c>
      <c r="H140" s="1" t="s">
        <v>98</v>
      </c>
    </row>
    <row r="141" spans="1:10" x14ac:dyDescent="0.2">
      <c r="H141" s="1" t="s">
        <v>105</v>
      </c>
    </row>
    <row r="142" spans="1:10" x14ac:dyDescent="0.2">
      <c r="A142" s="1"/>
    </row>
    <row r="143" spans="1:10" x14ac:dyDescent="0.2">
      <c r="A143" s="1"/>
    </row>
    <row r="148" spans="2:10" x14ac:dyDescent="0.2">
      <c r="F148" s="4" t="s">
        <v>100</v>
      </c>
    </row>
    <row r="149" spans="2:10" x14ac:dyDescent="0.2">
      <c r="F149" s="1" t="s">
        <v>101</v>
      </c>
    </row>
    <row r="150" spans="2:10" ht="18" thickBot="1" x14ac:dyDescent="0.25">
      <c r="B150" s="5"/>
      <c r="C150" s="5"/>
      <c r="D150" s="5"/>
      <c r="E150" s="5"/>
      <c r="F150" s="35" t="s">
        <v>102</v>
      </c>
      <c r="G150" s="5"/>
      <c r="H150" s="5"/>
      <c r="I150" s="5"/>
      <c r="J150" s="5"/>
    </row>
    <row r="151" spans="2:10" x14ac:dyDescent="0.2">
      <c r="E151" s="9"/>
      <c r="F151" s="3"/>
      <c r="G151" s="3"/>
      <c r="H151" s="3"/>
      <c r="I151" s="3"/>
      <c r="J151" s="3"/>
    </row>
    <row r="152" spans="2:10" x14ac:dyDescent="0.2">
      <c r="E152" s="6"/>
      <c r="F152" s="7"/>
      <c r="G152" s="8" t="s">
        <v>106</v>
      </c>
      <c r="H152" s="7"/>
      <c r="I152" s="7"/>
      <c r="J152" s="7"/>
    </row>
    <row r="153" spans="2:10" x14ac:dyDescent="0.2">
      <c r="E153" s="9"/>
      <c r="F153" s="9"/>
      <c r="G153" s="9"/>
      <c r="H153" s="10" t="s">
        <v>50</v>
      </c>
      <c r="I153" s="10" t="s">
        <v>51</v>
      </c>
      <c r="J153" s="10" t="s">
        <v>76</v>
      </c>
    </row>
    <row r="154" spans="2:10" x14ac:dyDescent="0.2">
      <c r="B154" s="7"/>
      <c r="C154" s="7"/>
      <c r="D154" s="7"/>
      <c r="E154" s="12" t="s">
        <v>53</v>
      </c>
      <c r="F154" s="12" t="s">
        <v>54</v>
      </c>
      <c r="G154" s="12" t="s">
        <v>55</v>
      </c>
      <c r="H154" s="13" t="s">
        <v>56</v>
      </c>
      <c r="I154" s="13" t="s">
        <v>57</v>
      </c>
      <c r="J154" s="13" t="s">
        <v>58</v>
      </c>
    </row>
    <row r="155" spans="2:10" x14ac:dyDescent="0.2">
      <c r="E155" s="9"/>
      <c r="F155" s="15" t="s">
        <v>17</v>
      </c>
      <c r="G155" s="15" t="s">
        <v>77</v>
      </c>
      <c r="H155" s="15" t="s">
        <v>77</v>
      </c>
      <c r="I155" s="15" t="s">
        <v>77</v>
      </c>
      <c r="J155" s="15" t="s">
        <v>77</v>
      </c>
    </row>
    <row r="156" spans="2:10" x14ac:dyDescent="0.2">
      <c r="C156" s="1" t="s">
        <v>78</v>
      </c>
      <c r="E156" s="36">
        <v>1562</v>
      </c>
      <c r="F156" s="19">
        <v>15485</v>
      </c>
      <c r="G156" s="19">
        <f>26820+0.4</f>
        <v>26820.400000000001</v>
      </c>
      <c r="H156" s="19">
        <f>137003+0.4</f>
        <v>137003.4</v>
      </c>
      <c r="I156" s="19">
        <f>205851+0.4</f>
        <v>205851.4</v>
      </c>
      <c r="J156" s="19">
        <f>65131+0.4</f>
        <v>65131.4</v>
      </c>
    </row>
    <row r="157" spans="2:10" x14ac:dyDescent="0.2">
      <c r="C157" s="1" t="s">
        <v>79</v>
      </c>
      <c r="E157" s="36">
        <v>1550</v>
      </c>
      <c r="F157" s="19">
        <v>14862</v>
      </c>
      <c r="G157" s="19">
        <f>27401+0.4</f>
        <v>27401.4</v>
      </c>
      <c r="H157" s="19">
        <f>140374+0.4</f>
        <v>140374.39999999999</v>
      </c>
      <c r="I157" s="19">
        <f>208992+0.4</f>
        <v>208992.4</v>
      </c>
      <c r="J157" s="19">
        <f>65634+0.4</f>
        <v>65634.399999999994</v>
      </c>
    </row>
    <row r="158" spans="2:10" x14ac:dyDescent="0.2">
      <c r="C158" s="1" t="s">
        <v>80</v>
      </c>
      <c r="E158" s="36">
        <v>1471</v>
      </c>
      <c r="F158" s="19">
        <v>14189</v>
      </c>
      <c r="G158" s="19">
        <f>26907+0.3</f>
        <v>26907.3</v>
      </c>
      <c r="H158" s="19">
        <f>141388-0.3</f>
        <v>141387.70000000001</v>
      </c>
      <c r="I158" s="19">
        <f>209098-0.4</f>
        <v>209097.60000000001</v>
      </c>
      <c r="J158" s="19">
        <f>64570+0.3</f>
        <v>64570.3</v>
      </c>
    </row>
    <row r="159" spans="2:10" x14ac:dyDescent="0.2">
      <c r="C159" s="1" t="s">
        <v>81</v>
      </c>
      <c r="E159" s="36">
        <v>816</v>
      </c>
      <c r="F159" s="19">
        <v>13053</v>
      </c>
      <c r="G159" s="19">
        <f>29303+0.3</f>
        <v>29303.3</v>
      </c>
      <c r="H159" s="19">
        <f>153002-0.4</f>
        <v>153001.60000000001</v>
      </c>
      <c r="I159" s="19">
        <f>229970-0.3</f>
        <v>229969.7</v>
      </c>
      <c r="J159" s="19">
        <v>72861</v>
      </c>
    </row>
    <row r="160" spans="2:10" x14ac:dyDescent="0.2">
      <c r="C160" s="1" t="s">
        <v>82</v>
      </c>
      <c r="E160" s="36">
        <v>789</v>
      </c>
      <c r="F160" s="19">
        <v>12732</v>
      </c>
      <c r="G160" s="19">
        <f>30235+0.3</f>
        <v>30235.3</v>
      </c>
      <c r="H160" s="19">
        <v>159441</v>
      </c>
      <c r="I160" s="19">
        <f>235514+0.4</f>
        <v>235514.4</v>
      </c>
      <c r="J160" s="19">
        <v>73162</v>
      </c>
    </row>
    <row r="161" spans="3:10" x14ac:dyDescent="0.2">
      <c r="E161" s="9"/>
    </row>
    <row r="162" spans="3:10" x14ac:dyDescent="0.2">
      <c r="C162" s="1" t="s">
        <v>83</v>
      </c>
      <c r="E162" s="36">
        <v>752</v>
      </c>
      <c r="F162" s="19">
        <v>12404</v>
      </c>
      <c r="G162" s="19">
        <f>29922-0.4</f>
        <v>29921.599999999999</v>
      </c>
      <c r="H162" s="19">
        <f>150979-0.4</f>
        <v>150978.6</v>
      </c>
      <c r="I162" s="19">
        <v>221870</v>
      </c>
      <c r="J162" s="19">
        <f>67052-0.4</f>
        <v>67051.600000000006</v>
      </c>
    </row>
    <row r="163" spans="3:10" x14ac:dyDescent="0.2">
      <c r="C163" s="1" t="s">
        <v>84</v>
      </c>
      <c r="E163" s="36">
        <v>711</v>
      </c>
      <c r="F163" s="19">
        <v>12045</v>
      </c>
      <c r="G163" s="19">
        <f>29470-0.3</f>
        <v>29469.7</v>
      </c>
      <c r="H163" s="19">
        <f>150288+0.3</f>
        <v>150288.29999999999</v>
      </c>
      <c r="I163" s="19">
        <f>226909+0.4</f>
        <v>226909.4</v>
      </c>
      <c r="J163" s="19">
        <v>73516</v>
      </c>
    </row>
    <row r="164" spans="3:10" x14ac:dyDescent="0.2">
      <c r="C164" s="1" t="s">
        <v>85</v>
      </c>
      <c r="E164" s="36">
        <v>751</v>
      </c>
      <c r="F164" s="19">
        <v>12537</v>
      </c>
      <c r="G164" s="19">
        <v>31804</v>
      </c>
      <c r="H164" s="19">
        <v>153036</v>
      </c>
      <c r="I164" s="19">
        <f>232903-0.4</f>
        <v>232902.6</v>
      </c>
      <c r="J164" s="19">
        <v>76595</v>
      </c>
    </row>
    <row r="165" spans="3:10" x14ac:dyDescent="0.2">
      <c r="C165" s="1" t="s">
        <v>86</v>
      </c>
      <c r="E165" s="36">
        <v>785</v>
      </c>
      <c r="F165" s="19">
        <v>12671</v>
      </c>
      <c r="G165" s="19">
        <v>31763</v>
      </c>
      <c r="H165" s="19">
        <v>144652</v>
      </c>
      <c r="I165" s="19">
        <v>224242</v>
      </c>
      <c r="J165" s="19">
        <v>75083</v>
      </c>
    </row>
    <row r="166" spans="3:10" x14ac:dyDescent="0.2">
      <c r="C166" s="1" t="s">
        <v>87</v>
      </c>
      <c r="E166" s="36">
        <v>765</v>
      </c>
      <c r="F166" s="19">
        <v>12624</v>
      </c>
      <c r="G166" s="19">
        <v>32964</v>
      </c>
      <c r="H166" s="19">
        <v>148685</v>
      </c>
      <c r="I166" s="19">
        <v>230497</v>
      </c>
      <c r="J166" s="19">
        <v>77586</v>
      </c>
    </row>
    <row r="167" spans="3:10" x14ac:dyDescent="0.2">
      <c r="E167" s="9"/>
    </row>
    <row r="168" spans="3:10" x14ac:dyDescent="0.2">
      <c r="C168" s="1" t="s">
        <v>88</v>
      </c>
      <c r="E168" s="36">
        <v>737</v>
      </c>
      <c r="F168" s="19">
        <v>12321</v>
      </c>
      <c r="G168" s="19">
        <v>33460</v>
      </c>
      <c r="H168" s="19">
        <v>143354</v>
      </c>
      <c r="I168" s="19">
        <v>223121</v>
      </c>
      <c r="J168" s="19">
        <v>75574</v>
      </c>
    </row>
    <row r="169" spans="3:10" x14ac:dyDescent="0.2">
      <c r="C169" s="1" t="s">
        <v>89</v>
      </c>
      <c r="E169" s="36">
        <v>732</v>
      </c>
      <c r="F169" s="19">
        <v>11885</v>
      </c>
      <c r="G169" s="19">
        <v>32999</v>
      </c>
      <c r="H169" s="19">
        <f>142505-0.4</f>
        <v>142504.6</v>
      </c>
      <c r="I169" s="19">
        <v>224847</v>
      </c>
      <c r="J169" s="19">
        <v>77637</v>
      </c>
    </row>
    <row r="170" spans="3:10" x14ac:dyDescent="0.2">
      <c r="C170" s="1" t="s">
        <v>90</v>
      </c>
      <c r="E170" s="36">
        <v>740</v>
      </c>
      <c r="F170" s="19">
        <v>11912</v>
      </c>
      <c r="G170" s="19">
        <v>34409</v>
      </c>
      <c r="H170" s="19">
        <v>150678</v>
      </c>
      <c r="I170" s="19">
        <f>244046-0.4</f>
        <v>244045.6</v>
      </c>
      <c r="J170" s="19">
        <v>86890</v>
      </c>
    </row>
    <row r="171" spans="3:10" x14ac:dyDescent="0.2">
      <c r="C171" s="1" t="s">
        <v>91</v>
      </c>
      <c r="E171" s="36">
        <v>730</v>
      </c>
      <c r="F171" s="19">
        <v>11895</v>
      </c>
      <c r="G171" s="19">
        <v>36284</v>
      </c>
      <c r="H171" s="19">
        <v>161994</v>
      </c>
      <c r="I171" s="19">
        <v>255718</v>
      </c>
      <c r="J171" s="19">
        <v>86948</v>
      </c>
    </row>
    <row r="172" spans="3:10" x14ac:dyDescent="0.2">
      <c r="C172" s="1" t="s">
        <v>92</v>
      </c>
      <c r="E172" s="36">
        <v>704</v>
      </c>
      <c r="F172" s="19">
        <v>11389</v>
      </c>
      <c r="G172" s="19">
        <v>35326</v>
      </c>
      <c r="H172" s="19">
        <v>145972</v>
      </c>
      <c r="I172" s="19">
        <f>231600-0.4</f>
        <v>231599.6</v>
      </c>
      <c r="J172" s="19">
        <v>79322</v>
      </c>
    </row>
    <row r="173" spans="3:10" x14ac:dyDescent="0.2">
      <c r="E173" s="9"/>
    </row>
    <row r="174" spans="3:10" x14ac:dyDescent="0.2">
      <c r="C174" s="1" t="s">
        <v>93</v>
      </c>
      <c r="E174" s="36">
        <v>678</v>
      </c>
      <c r="F174" s="19">
        <v>10950</v>
      </c>
      <c r="G174" s="19">
        <f>34406+0.4</f>
        <v>34406.400000000001</v>
      </c>
      <c r="H174" s="19">
        <f>134570-0.2</f>
        <v>134569.79999999999</v>
      </c>
      <c r="I174" s="19">
        <f>215592-0.4</f>
        <v>215591.6</v>
      </c>
      <c r="J174" s="19">
        <f>73707+0.4</f>
        <v>73707.399999999994</v>
      </c>
    </row>
    <row r="175" spans="3:10" x14ac:dyDescent="0.2">
      <c r="C175" s="1" t="s">
        <v>94</v>
      </c>
      <c r="E175" s="36">
        <v>420</v>
      </c>
      <c r="F175" s="19">
        <v>7586</v>
      </c>
      <c r="G175" s="19">
        <f>28197+0.4</f>
        <v>28197.4</v>
      </c>
      <c r="H175" s="19">
        <v>102682</v>
      </c>
      <c r="I175" s="19">
        <v>168282</v>
      </c>
      <c r="J175" s="19">
        <v>59325</v>
      </c>
    </row>
    <row r="176" spans="3:10" x14ac:dyDescent="0.2">
      <c r="C176" s="1" t="s">
        <v>95</v>
      </c>
      <c r="E176" s="36">
        <v>382</v>
      </c>
      <c r="F176" s="19">
        <v>6889</v>
      </c>
      <c r="G176" s="19">
        <v>26284</v>
      </c>
      <c r="H176" s="19">
        <v>92282</v>
      </c>
      <c r="I176" s="19">
        <f>151064-0.4</f>
        <v>151063.6</v>
      </c>
      <c r="J176" s="19">
        <v>53838</v>
      </c>
    </row>
    <row r="177" spans="2:10" x14ac:dyDescent="0.2">
      <c r="C177" s="1" t="s">
        <v>96</v>
      </c>
      <c r="E177" s="36">
        <v>369</v>
      </c>
      <c r="F177" s="19">
        <v>6774</v>
      </c>
      <c r="G177" s="19">
        <v>25795</v>
      </c>
      <c r="H177" s="19">
        <v>90457</v>
      </c>
      <c r="I177" s="19">
        <v>147194</v>
      </c>
      <c r="J177" s="19">
        <v>52207</v>
      </c>
    </row>
    <row r="178" spans="2:10" x14ac:dyDescent="0.2">
      <c r="B178" s="34"/>
      <c r="C178" s="4" t="s">
        <v>97</v>
      </c>
      <c r="D178" s="34"/>
      <c r="E178" s="50">
        <v>354</v>
      </c>
      <c r="F178" s="51">
        <v>6723</v>
      </c>
      <c r="G178" s="51">
        <v>25752</v>
      </c>
      <c r="H178" s="51">
        <v>87912</v>
      </c>
      <c r="I178" s="51">
        <v>146744</v>
      </c>
      <c r="J178" s="51">
        <v>53997</v>
      </c>
    </row>
    <row r="179" spans="2:10" ht="18" thickBot="1" x14ac:dyDescent="0.25">
      <c r="B179" s="5"/>
      <c r="C179" s="5"/>
      <c r="D179" s="5"/>
      <c r="E179" s="38"/>
      <c r="F179" s="5"/>
      <c r="G179" s="5"/>
      <c r="H179" s="5"/>
      <c r="I179" s="5"/>
      <c r="J179" s="5"/>
    </row>
    <row r="180" spans="2:10" x14ac:dyDescent="0.2">
      <c r="E180" s="9"/>
      <c r="F180" s="3"/>
      <c r="G180" s="3"/>
      <c r="H180" s="3"/>
      <c r="I180" s="3"/>
      <c r="J180" s="3"/>
    </row>
    <row r="181" spans="2:10" x14ac:dyDescent="0.2">
      <c r="E181" s="6"/>
      <c r="F181" s="7"/>
      <c r="G181" s="8" t="s">
        <v>107</v>
      </c>
      <c r="H181" s="7"/>
      <c r="I181" s="7"/>
      <c r="J181" s="7"/>
    </row>
    <row r="182" spans="2:10" x14ac:dyDescent="0.2">
      <c r="E182" s="9"/>
      <c r="F182" s="9"/>
      <c r="G182" s="9"/>
      <c r="H182" s="10" t="s">
        <v>50</v>
      </c>
      <c r="I182" s="10" t="s">
        <v>51</v>
      </c>
      <c r="J182" s="10" t="s">
        <v>76</v>
      </c>
    </row>
    <row r="183" spans="2:10" x14ac:dyDescent="0.2">
      <c r="B183" s="7"/>
      <c r="C183" s="7"/>
      <c r="D183" s="7"/>
      <c r="E183" s="12" t="s">
        <v>53</v>
      </c>
      <c r="F183" s="12" t="s">
        <v>54</v>
      </c>
      <c r="G183" s="12" t="s">
        <v>55</v>
      </c>
      <c r="H183" s="13" t="s">
        <v>56</v>
      </c>
      <c r="I183" s="13" t="s">
        <v>57</v>
      </c>
      <c r="J183" s="13" t="s">
        <v>58</v>
      </c>
    </row>
    <row r="184" spans="2:10" x14ac:dyDescent="0.2">
      <c r="E184" s="9"/>
      <c r="F184" s="15" t="s">
        <v>17</v>
      </c>
      <c r="G184" s="15" t="s">
        <v>77</v>
      </c>
      <c r="H184" s="15" t="s">
        <v>77</v>
      </c>
      <c r="I184" s="15" t="s">
        <v>77</v>
      </c>
      <c r="J184" s="15" t="s">
        <v>77</v>
      </c>
    </row>
    <row r="185" spans="2:10" x14ac:dyDescent="0.2">
      <c r="C185" s="1" t="s">
        <v>78</v>
      </c>
      <c r="E185" s="36">
        <v>579</v>
      </c>
      <c r="F185" s="19">
        <v>6800</v>
      </c>
      <c r="G185" s="19">
        <f>7183+0.4</f>
        <v>7183.4</v>
      </c>
      <c r="H185" s="19">
        <f>20718+0.4</f>
        <v>20718.400000000001</v>
      </c>
      <c r="I185" s="19">
        <f>36771+0.4</f>
        <v>36771.4</v>
      </c>
      <c r="J185" s="19">
        <f>15557+0.4</f>
        <v>15557.4</v>
      </c>
    </row>
    <row r="186" spans="2:10" x14ac:dyDescent="0.2">
      <c r="C186" s="1" t="s">
        <v>79</v>
      </c>
      <c r="E186" s="36">
        <v>572</v>
      </c>
      <c r="F186" s="19">
        <v>6605</v>
      </c>
      <c r="G186" s="19">
        <f>7399+0.4</f>
        <v>7399.4</v>
      </c>
      <c r="H186" s="19">
        <f>22313+0.4</f>
        <v>22313.4</v>
      </c>
      <c r="I186" s="19">
        <f>38461+0.4</f>
        <v>38461.4</v>
      </c>
      <c r="J186" s="19">
        <f>15787+0.4</f>
        <v>15787.4</v>
      </c>
    </row>
    <row r="187" spans="2:10" x14ac:dyDescent="0.2">
      <c r="C187" s="1" t="s">
        <v>80</v>
      </c>
      <c r="E187" s="36">
        <v>588</v>
      </c>
      <c r="F187" s="19">
        <v>6605</v>
      </c>
      <c r="G187" s="19">
        <v>7532</v>
      </c>
      <c r="H187" s="19">
        <v>23399</v>
      </c>
      <c r="I187" s="19">
        <f>41355-0.4</f>
        <v>41354.6</v>
      </c>
      <c r="J187" s="19">
        <v>17802</v>
      </c>
    </row>
    <row r="188" spans="2:10" x14ac:dyDescent="0.2">
      <c r="C188" s="1" t="s">
        <v>81</v>
      </c>
      <c r="E188" s="36">
        <v>517</v>
      </c>
      <c r="F188" s="19">
        <v>6550</v>
      </c>
      <c r="G188" s="19">
        <v>8354</v>
      </c>
      <c r="H188" s="19">
        <f>22146-0.4</f>
        <v>22145.599999999999</v>
      </c>
      <c r="I188" s="19">
        <v>42266</v>
      </c>
      <c r="J188" s="19">
        <v>19639</v>
      </c>
    </row>
    <row r="189" spans="2:10" x14ac:dyDescent="0.2">
      <c r="C189" s="1" t="s">
        <v>82</v>
      </c>
      <c r="E189" s="36">
        <v>545</v>
      </c>
      <c r="F189" s="19">
        <v>6892</v>
      </c>
      <c r="G189" s="19">
        <v>8906</v>
      </c>
      <c r="H189" s="19">
        <v>27496</v>
      </c>
      <c r="I189" s="19">
        <f>47191+0.4</f>
        <v>47191.4</v>
      </c>
      <c r="J189" s="19">
        <v>19105</v>
      </c>
    </row>
    <row r="190" spans="2:10" x14ac:dyDescent="0.2">
      <c r="E190" s="9"/>
    </row>
    <row r="191" spans="2:10" x14ac:dyDescent="0.2">
      <c r="C191" s="1" t="s">
        <v>83</v>
      </c>
      <c r="E191" s="36">
        <v>540</v>
      </c>
      <c r="F191" s="19">
        <v>6600</v>
      </c>
      <c r="G191" s="19">
        <f>8994-0.4</f>
        <v>8993.6</v>
      </c>
      <c r="H191" s="19">
        <f>26066-0.4</f>
        <v>26065.599999999999</v>
      </c>
      <c r="I191" s="19">
        <v>45760</v>
      </c>
      <c r="J191" s="19">
        <f>19093-0.4</f>
        <v>19092.599999999999</v>
      </c>
    </row>
    <row r="192" spans="2:10" x14ac:dyDescent="0.2">
      <c r="C192" s="1" t="s">
        <v>84</v>
      </c>
      <c r="E192" s="36">
        <v>531</v>
      </c>
      <c r="F192" s="19">
        <v>6667</v>
      </c>
      <c r="G192" s="19">
        <v>9174</v>
      </c>
      <c r="H192" s="19">
        <v>26493</v>
      </c>
      <c r="I192" s="19">
        <f>46255+0.4</f>
        <v>46255.4</v>
      </c>
      <c r="J192" s="19">
        <f>19050-0.3</f>
        <v>19049.7</v>
      </c>
    </row>
    <row r="193" spans="2:10" x14ac:dyDescent="0.2">
      <c r="C193" s="1" t="s">
        <v>85</v>
      </c>
      <c r="E193" s="36">
        <v>477</v>
      </c>
      <c r="F193" s="19">
        <v>5833</v>
      </c>
      <c r="G193" s="19">
        <v>8565</v>
      </c>
      <c r="H193" s="19">
        <v>25735</v>
      </c>
      <c r="I193" s="19">
        <f>44404-0.4</f>
        <v>44403.6</v>
      </c>
      <c r="J193" s="19">
        <v>18352</v>
      </c>
    </row>
    <row r="194" spans="2:10" x14ac:dyDescent="0.2">
      <c r="C194" s="1" t="s">
        <v>86</v>
      </c>
      <c r="E194" s="36">
        <v>463</v>
      </c>
      <c r="F194" s="19">
        <v>5794</v>
      </c>
      <c r="G194" s="19">
        <v>8816</v>
      </c>
      <c r="H194" s="19">
        <v>23951</v>
      </c>
      <c r="I194" s="19">
        <v>43191</v>
      </c>
      <c r="J194" s="19">
        <v>19079</v>
      </c>
    </row>
    <row r="195" spans="2:10" x14ac:dyDescent="0.2">
      <c r="C195" s="1" t="s">
        <v>87</v>
      </c>
      <c r="E195" s="36">
        <v>441</v>
      </c>
      <c r="F195" s="19">
        <v>5665</v>
      </c>
      <c r="G195" s="19">
        <v>8652</v>
      </c>
      <c r="H195" s="19">
        <v>20073</v>
      </c>
      <c r="I195" s="19">
        <v>39095</v>
      </c>
      <c r="J195" s="19">
        <v>18614</v>
      </c>
    </row>
    <row r="196" spans="2:10" x14ac:dyDescent="0.2">
      <c r="E196" s="9"/>
    </row>
    <row r="197" spans="2:10" x14ac:dyDescent="0.2">
      <c r="C197" s="1" t="s">
        <v>88</v>
      </c>
      <c r="E197" s="36">
        <v>461</v>
      </c>
      <c r="F197" s="19">
        <v>5638</v>
      </c>
      <c r="G197" s="19">
        <v>8626</v>
      </c>
      <c r="H197" s="19">
        <v>21423</v>
      </c>
      <c r="I197" s="19">
        <v>40136</v>
      </c>
      <c r="J197" s="19">
        <v>17899</v>
      </c>
    </row>
    <row r="198" spans="2:10" x14ac:dyDescent="0.2">
      <c r="C198" s="1" t="s">
        <v>89</v>
      </c>
      <c r="E198" s="36">
        <v>430</v>
      </c>
      <c r="F198" s="19">
        <v>5259</v>
      </c>
      <c r="G198" s="19">
        <v>8618</v>
      </c>
      <c r="H198" s="19">
        <f>21632-0.4</f>
        <v>21631.599999999999</v>
      </c>
      <c r="I198" s="19">
        <v>41334</v>
      </c>
      <c r="J198" s="19">
        <v>19051</v>
      </c>
    </row>
    <row r="199" spans="2:10" x14ac:dyDescent="0.2">
      <c r="C199" s="1" t="s">
        <v>90</v>
      </c>
      <c r="E199" s="36">
        <v>418</v>
      </c>
      <c r="F199" s="19">
        <v>4968</v>
      </c>
      <c r="G199" s="19">
        <v>8323</v>
      </c>
      <c r="H199" s="19">
        <v>19919</v>
      </c>
      <c r="I199" s="19">
        <f>39369-0.4</f>
        <v>39368.6</v>
      </c>
      <c r="J199" s="19">
        <v>18771</v>
      </c>
    </row>
    <row r="200" spans="2:10" x14ac:dyDescent="0.2">
      <c r="C200" s="1" t="s">
        <v>91</v>
      </c>
      <c r="E200" s="36">
        <v>425</v>
      </c>
      <c r="F200" s="19">
        <v>4895</v>
      </c>
      <c r="G200" s="19">
        <v>8620</v>
      </c>
      <c r="H200" s="19">
        <v>20618</v>
      </c>
      <c r="I200" s="19">
        <v>40224</v>
      </c>
      <c r="J200" s="19">
        <v>18821</v>
      </c>
    </row>
    <row r="201" spans="2:10" x14ac:dyDescent="0.2">
      <c r="C201" s="1" t="s">
        <v>92</v>
      </c>
      <c r="E201" s="36">
        <v>406</v>
      </c>
      <c r="F201" s="19">
        <v>4721</v>
      </c>
      <c r="G201" s="19">
        <v>8926</v>
      </c>
      <c r="H201" s="19">
        <v>21043</v>
      </c>
      <c r="I201" s="19">
        <f>41091-0.2</f>
        <v>41090.800000000003</v>
      </c>
      <c r="J201" s="19">
        <v>19565</v>
      </c>
    </row>
    <row r="202" spans="2:10" x14ac:dyDescent="0.2">
      <c r="E202" s="9"/>
    </row>
    <row r="203" spans="2:10" x14ac:dyDescent="0.2">
      <c r="C203" s="1" t="s">
        <v>93</v>
      </c>
      <c r="E203" s="36">
        <v>377</v>
      </c>
      <c r="F203" s="19">
        <v>4315</v>
      </c>
      <c r="G203" s="19">
        <f>8136+0.4</f>
        <v>8136.4</v>
      </c>
      <c r="H203" s="19">
        <v>16227</v>
      </c>
      <c r="I203" s="19">
        <v>32493</v>
      </c>
      <c r="J203" s="19">
        <f>15283+0.1</f>
        <v>15283.1</v>
      </c>
    </row>
    <row r="204" spans="2:10" x14ac:dyDescent="0.2">
      <c r="C204" s="1" t="s">
        <v>94</v>
      </c>
      <c r="E204" s="36">
        <v>570</v>
      </c>
      <c r="F204" s="19">
        <v>6607</v>
      </c>
      <c r="G204" s="19">
        <f>12594+0.4</f>
        <v>12594.4</v>
      </c>
      <c r="H204" s="19">
        <v>32888</v>
      </c>
      <c r="I204" s="19">
        <v>59044</v>
      </c>
      <c r="J204" s="19">
        <v>24996</v>
      </c>
    </row>
    <row r="205" spans="2:10" x14ac:dyDescent="0.2">
      <c r="C205" s="1" t="s">
        <v>95</v>
      </c>
      <c r="E205" s="36">
        <v>549</v>
      </c>
      <c r="F205" s="19">
        <v>6519</v>
      </c>
      <c r="G205" s="19">
        <v>13161</v>
      </c>
      <c r="H205" s="19">
        <v>34232</v>
      </c>
      <c r="I205" s="19">
        <f>59843-0.4</f>
        <v>59842.6</v>
      </c>
      <c r="J205" s="19">
        <v>24302</v>
      </c>
    </row>
    <row r="206" spans="2:10" x14ac:dyDescent="0.2">
      <c r="C206" s="1" t="s">
        <v>96</v>
      </c>
      <c r="E206" s="36">
        <v>517</v>
      </c>
      <c r="F206" s="19">
        <v>5802</v>
      </c>
      <c r="G206" s="19">
        <v>11382</v>
      </c>
      <c r="H206" s="19">
        <v>26567</v>
      </c>
      <c r="I206" s="19">
        <v>48952</v>
      </c>
      <c r="J206" s="19">
        <v>21358</v>
      </c>
    </row>
    <row r="207" spans="2:10" x14ac:dyDescent="0.2">
      <c r="B207" s="34"/>
      <c r="C207" s="4" t="s">
        <v>97</v>
      </c>
      <c r="D207" s="34"/>
      <c r="E207" s="50">
        <v>468</v>
      </c>
      <c r="F207" s="51">
        <v>5412</v>
      </c>
      <c r="G207" s="51">
        <v>10645</v>
      </c>
      <c r="H207" s="51">
        <v>26095</v>
      </c>
      <c r="I207" s="51">
        <v>52298</v>
      </c>
      <c r="J207" s="51">
        <v>25216</v>
      </c>
    </row>
    <row r="208" spans="2:10" ht="18" thickBot="1" x14ac:dyDescent="0.25">
      <c r="B208" s="5"/>
      <c r="C208" s="5"/>
      <c r="D208" s="5"/>
      <c r="E208" s="38"/>
      <c r="F208" s="5"/>
      <c r="G208" s="5"/>
      <c r="H208" s="5"/>
      <c r="I208" s="5"/>
      <c r="J208" s="5"/>
    </row>
    <row r="209" spans="1:10" x14ac:dyDescent="0.2">
      <c r="E209" s="1" t="s">
        <v>70</v>
      </c>
      <c r="H209" s="1" t="s">
        <v>98</v>
      </c>
    </row>
    <row r="210" spans="1:10" x14ac:dyDescent="0.2">
      <c r="H210" s="1" t="s">
        <v>105</v>
      </c>
    </row>
    <row r="212" spans="1:10" x14ac:dyDescent="0.2">
      <c r="A212" s="1"/>
    </row>
    <row r="213" spans="1:10" x14ac:dyDescent="0.2">
      <c r="A213" s="1"/>
    </row>
    <row r="218" spans="1:10" x14ac:dyDescent="0.2">
      <c r="F218" s="4" t="s">
        <v>100</v>
      </c>
    </row>
    <row r="219" spans="1:10" x14ac:dyDescent="0.2">
      <c r="F219" s="1" t="s">
        <v>101</v>
      </c>
    </row>
    <row r="220" spans="1:10" ht="18" thickBot="1" x14ac:dyDescent="0.25">
      <c r="B220" s="5"/>
      <c r="C220" s="5"/>
      <c r="D220" s="5"/>
      <c r="E220" s="5"/>
      <c r="F220" s="35" t="s">
        <v>102</v>
      </c>
      <c r="G220" s="5"/>
      <c r="H220" s="5"/>
      <c r="I220" s="5"/>
      <c r="J220" s="5"/>
    </row>
    <row r="221" spans="1:10" x14ac:dyDescent="0.2">
      <c r="E221" s="9"/>
      <c r="F221" s="3"/>
      <c r="G221" s="3"/>
      <c r="H221" s="3"/>
      <c r="I221" s="3"/>
      <c r="J221" s="3"/>
    </row>
    <row r="222" spans="1:10" x14ac:dyDescent="0.2">
      <c r="E222" s="6"/>
      <c r="F222" s="7"/>
      <c r="G222" s="8" t="s">
        <v>108</v>
      </c>
      <c r="H222" s="7"/>
      <c r="I222" s="7"/>
      <c r="J222" s="7"/>
    </row>
    <row r="223" spans="1:10" x14ac:dyDescent="0.2">
      <c r="E223" s="9"/>
      <c r="F223" s="9"/>
      <c r="G223" s="9"/>
      <c r="H223" s="10" t="s">
        <v>50</v>
      </c>
      <c r="I223" s="10" t="s">
        <v>51</v>
      </c>
      <c r="J223" s="10" t="s">
        <v>76</v>
      </c>
    </row>
    <row r="224" spans="1:10" x14ac:dyDescent="0.2">
      <c r="B224" s="7"/>
      <c r="C224" s="7"/>
      <c r="D224" s="7"/>
      <c r="E224" s="12" t="s">
        <v>53</v>
      </c>
      <c r="F224" s="12" t="s">
        <v>54</v>
      </c>
      <c r="G224" s="12" t="s">
        <v>55</v>
      </c>
      <c r="H224" s="13" t="s">
        <v>56</v>
      </c>
      <c r="I224" s="13" t="s">
        <v>57</v>
      </c>
      <c r="J224" s="13" t="s">
        <v>58</v>
      </c>
    </row>
    <row r="225" spans="3:10" x14ac:dyDescent="0.2">
      <c r="E225" s="9"/>
      <c r="F225" s="15" t="s">
        <v>17</v>
      </c>
      <c r="G225" s="15" t="s">
        <v>77</v>
      </c>
      <c r="H225" s="15" t="s">
        <v>77</v>
      </c>
      <c r="I225" s="15" t="s">
        <v>77</v>
      </c>
      <c r="J225" s="15" t="s">
        <v>77</v>
      </c>
    </row>
    <row r="226" spans="3:10" x14ac:dyDescent="0.2">
      <c r="C226" s="1" t="s">
        <v>78</v>
      </c>
      <c r="E226" s="36">
        <v>774</v>
      </c>
      <c r="F226" s="19">
        <v>5847</v>
      </c>
      <c r="G226" s="19">
        <f>9482+0.4</f>
        <v>9482.4</v>
      </c>
      <c r="H226" s="19">
        <f>49902+0.4</f>
        <v>49902.400000000001</v>
      </c>
      <c r="I226" s="19">
        <f>71444+0.4</f>
        <v>71444.399999999994</v>
      </c>
      <c r="J226" s="19">
        <f>21064+0.4</f>
        <v>21064.400000000001</v>
      </c>
    </row>
    <row r="227" spans="3:10" x14ac:dyDescent="0.2">
      <c r="C227" s="1" t="s">
        <v>79</v>
      </c>
      <c r="E227" s="36">
        <v>755</v>
      </c>
      <c r="F227" s="19">
        <v>5816</v>
      </c>
      <c r="G227" s="19">
        <f>10256+0.4</f>
        <v>10256.4</v>
      </c>
      <c r="H227" s="19">
        <f>61379+0.4</f>
        <v>61379.4</v>
      </c>
      <c r="I227" s="19">
        <f>84903+0.4</f>
        <v>84903.4</v>
      </c>
      <c r="J227" s="19">
        <f>22563+0.4</f>
        <v>22563.4</v>
      </c>
    </row>
    <row r="228" spans="3:10" x14ac:dyDescent="0.2">
      <c r="C228" s="1" t="s">
        <v>80</v>
      </c>
      <c r="E228" s="36">
        <v>747</v>
      </c>
      <c r="F228" s="19">
        <v>5627</v>
      </c>
      <c r="G228" s="19">
        <v>10009</v>
      </c>
      <c r="H228" s="19">
        <v>63753</v>
      </c>
      <c r="I228" s="19">
        <f>88182-0.4</f>
        <v>88181.6</v>
      </c>
      <c r="J228" s="19">
        <v>23993</v>
      </c>
    </row>
    <row r="229" spans="3:10" x14ac:dyDescent="0.2">
      <c r="C229" s="1" t="s">
        <v>81</v>
      </c>
      <c r="E229" s="36">
        <v>483</v>
      </c>
      <c r="F229" s="19">
        <v>4845</v>
      </c>
      <c r="G229" s="19">
        <v>9745</v>
      </c>
      <c r="H229" s="19">
        <v>52207</v>
      </c>
      <c r="I229" s="19">
        <v>74893</v>
      </c>
      <c r="J229" s="19">
        <v>21715</v>
      </c>
    </row>
    <row r="230" spans="3:10" x14ac:dyDescent="0.2">
      <c r="C230" s="1" t="s">
        <v>82</v>
      </c>
      <c r="E230" s="36">
        <v>484</v>
      </c>
      <c r="F230" s="19">
        <v>4649</v>
      </c>
      <c r="G230" s="19">
        <v>9638</v>
      </c>
      <c r="H230" s="19">
        <v>52239</v>
      </c>
      <c r="I230" s="19">
        <f>72401+0.4</f>
        <v>72401.399999999994</v>
      </c>
      <c r="J230" s="19">
        <v>19520</v>
      </c>
    </row>
    <row r="231" spans="3:10" x14ac:dyDescent="0.2">
      <c r="E231" s="9"/>
    </row>
    <row r="232" spans="3:10" x14ac:dyDescent="0.2">
      <c r="C232" s="1" t="s">
        <v>83</v>
      </c>
      <c r="E232" s="36">
        <v>459</v>
      </c>
      <c r="F232" s="19">
        <v>4425</v>
      </c>
      <c r="G232" s="19">
        <f>9463-0.4</f>
        <v>9462.6</v>
      </c>
      <c r="H232" s="19">
        <f>49540-0.4</f>
        <v>49539.6</v>
      </c>
      <c r="I232" s="19">
        <v>70288</v>
      </c>
      <c r="J232" s="19">
        <f>20046-0.4</f>
        <v>20045.599999999999</v>
      </c>
    </row>
    <row r="233" spans="3:10" x14ac:dyDescent="0.2">
      <c r="C233" s="1" t="s">
        <v>84</v>
      </c>
      <c r="E233" s="36">
        <v>416</v>
      </c>
      <c r="F233" s="19">
        <v>4042</v>
      </c>
      <c r="G233" s="19">
        <v>8963</v>
      </c>
      <c r="H233" s="19">
        <v>45734</v>
      </c>
      <c r="I233" s="19">
        <f>65979+0.4</f>
        <v>65979.399999999994</v>
      </c>
      <c r="J233" s="19">
        <v>19815</v>
      </c>
    </row>
    <row r="234" spans="3:10" x14ac:dyDescent="0.2">
      <c r="C234" s="1" t="s">
        <v>85</v>
      </c>
      <c r="E234" s="36">
        <v>432</v>
      </c>
      <c r="F234" s="19">
        <v>4171</v>
      </c>
      <c r="G234" s="19">
        <v>9759</v>
      </c>
      <c r="H234" s="19">
        <v>47541</v>
      </c>
      <c r="I234" s="19">
        <v>70674</v>
      </c>
      <c r="J234" s="19">
        <v>22747</v>
      </c>
    </row>
    <row r="235" spans="3:10" x14ac:dyDescent="0.2">
      <c r="C235" s="1" t="s">
        <v>86</v>
      </c>
      <c r="E235" s="36">
        <v>416</v>
      </c>
      <c r="F235" s="19">
        <v>4023</v>
      </c>
      <c r="G235" s="19">
        <v>9598</v>
      </c>
      <c r="H235" s="19">
        <v>43609</v>
      </c>
      <c r="I235" s="19">
        <v>66376</v>
      </c>
      <c r="J235" s="19">
        <v>22659</v>
      </c>
    </row>
    <row r="236" spans="3:10" x14ac:dyDescent="0.2">
      <c r="C236" s="1" t="s">
        <v>87</v>
      </c>
      <c r="E236" s="36">
        <v>403</v>
      </c>
      <c r="F236" s="19">
        <v>4157</v>
      </c>
      <c r="G236" s="19">
        <v>10181</v>
      </c>
      <c r="H236" s="19">
        <v>45517</v>
      </c>
      <c r="I236" s="19">
        <v>71610</v>
      </c>
      <c r="J236" s="19">
        <v>24711</v>
      </c>
    </row>
    <row r="237" spans="3:10" x14ac:dyDescent="0.2">
      <c r="E237" s="9"/>
    </row>
    <row r="238" spans="3:10" x14ac:dyDescent="0.2">
      <c r="C238" s="1" t="s">
        <v>88</v>
      </c>
      <c r="E238" s="36">
        <v>411</v>
      </c>
      <c r="F238" s="19">
        <v>4251</v>
      </c>
      <c r="G238" s="19">
        <v>10799</v>
      </c>
      <c r="H238" s="19">
        <v>47456</v>
      </c>
      <c r="I238" s="19">
        <v>74882</v>
      </c>
      <c r="J238" s="19">
        <v>26747</v>
      </c>
    </row>
    <row r="239" spans="3:10" x14ac:dyDescent="0.2">
      <c r="C239" s="1" t="s">
        <v>362</v>
      </c>
      <c r="E239" s="36">
        <v>398</v>
      </c>
      <c r="F239" s="19">
        <v>4114</v>
      </c>
      <c r="G239" s="19">
        <v>10912</v>
      </c>
      <c r="H239" s="19">
        <v>52599</v>
      </c>
      <c r="I239" s="19">
        <v>80281</v>
      </c>
      <c r="J239" s="19">
        <v>26548</v>
      </c>
    </row>
    <row r="240" spans="3:10" x14ac:dyDescent="0.2">
      <c r="C240" s="1" t="s">
        <v>90</v>
      </c>
      <c r="E240" s="36">
        <v>394</v>
      </c>
      <c r="F240" s="19">
        <v>4042</v>
      </c>
      <c r="G240" s="19">
        <v>10984</v>
      </c>
      <c r="H240" s="19">
        <v>55928</v>
      </c>
      <c r="I240" s="19">
        <v>83944</v>
      </c>
      <c r="J240" s="19">
        <v>26876</v>
      </c>
    </row>
    <row r="241" spans="2:10" x14ac:dyDescent="0.2">
      <c r="C241" s="1" t="s">
        <v>91</v>
      </c>
      <c r="E241" s="36">
        <v>379</v>
      </c>
      <c r="F241" s="19">
        <v>3858</v>
      </c>
      <c r="G241" s="19">
        <v>11427</v>
      </c>
      <c r="H241" s="19">
        <v>52700</v>
      </c>
      <c r="I241" s="19">
        <v>79430</v>
      </c>
      <c r="J241" s="19">
        <v>25417</v>
      </c>
    </row>
    <row r="242" spans="2:10" x14ac:dyDescent="0.2">
      <c r="C242" s="1" t="s">
        <v>92</v>
      </c>
      <c r="E242" s="36">
        <v>363</v>
      </c>
      <c r="F242" s="19">
        <v>3729</v>
      </c>
      <c r="G242" s="19">
        <v>11129</v>
      </c>
      <c r="H242" s="19">
        <v>51786</v>
      </c>
      <c r="I242" s="19">
        <f>75493-0.2</f>
        <v>75492.800000000003</v>
      </c>
      <c r="J242" s="19">
        <v>22341</v>
      </c>
    </row>
    <row r="243" spans="2:10" x14ac:dyDescent="0.2">
      <c r="E243" s="9"/>
    </row>
    <row r="244" spans="2:10" x14ac:dyDescent="0.2">
      <c r="C244" s="1" t="s">
        <v>93</v>
      </c>
      <c r="E244" s="36">
        <v>359</v>
      </c>
      <c r="F244" s="19">
        <v>3720</v>
      </c>
      <c r="G244" s="19">
        <f>11311+0.4</f>
        <v>11311.4</v>
      </c>
      <c r="H244" s="19">
        <v>52690</v>
      </c>
      <c r="I244" s="19">
        <v>79745</v>
      </c>
      <c r="J244" s="19">
        <v>25398</v>
      </c>
    </row>
    <row r="245" spans="2:10" x14ac:dyDescent="0.2">
      <c r="C245" s="1" t="s">
        <v>94</v>
      </c>
      <c r="E245" s="36">
        <v>338</v>
      </c>
      <c r="F245" s="19">
        <v>3526</v>
      </c>
      <c r="G245" s="19">
        <f>11181+0.4</f>
        <v>11181.4</v>
      </c>
      <c r="H245" s="19">
        <v>50075</v>
      </c>
      <c r="I245" s="19">
        <v>77227</v>
      </c>
      <c r="J245" s="19">
        <v>25567</v>
      </c>
    </row>
    <row r="246" spans="2:10" x14ac:dyDescent="0.2">
      <c r="C246" s="1" t="s">
        <v>95</v>
      </c>
      <c r="E246" s="36">
        <v>333</v>
      </c>
      <c r="F246" s="19">
        <v>3428</v>
      </c>
      <c r="G246" s="19">
        <v>10591</v>
      </c>
      <c r="H246" s="19">
        <v>46360</v>
      </c>
      <c r="I246" s="19">
        <f>71495-0.4</f>
        <v>71494.600000000006</v>
      </c>
      <c r="J246" s="19">
        <v>23943</v>
      </c>
    </row>
    <row r="247" spans="2:10" x14ac:dyDescent="0.2">
      <c r="C247" s="1" t="s">
        <v>96</v>
      </c>
      <c r="E247" s="36">
        <v>314</v>
      </c>
      <c r="F247" s="19">
        <v>3319</v>
      </c>
      <c r="G247" s="19">
        <v>10568</v>
      </c>
      <c r="H247" s="19">
        <v>46675</v>
      </c>
      <c r="I247" s="19">
        <v>70702</v>
      </c>
      <c r="J247" s="19">
        <v>22387</v>
      </c>
    </row>
    <row r="248" spans="2:10" x14ac:dyDescent="0.2">
      <c r="B248" s="34"/>
      <c r="C248" s="4" t="s">
        <v>113</v>
      </c>
      <c r="D248" s="34"/>
      <c r="E248" s="50">
        <v>291</v>
      </c>
      <c r="F248" s="51">
        <v>3088</v>
      </c>
      <c r="G248" s="51">
        <v>10044</v>
      </c>
      <c r="H248" s="51">
        <v>43692</v>
      </c>
      <c r="I248" s="51">
        <v>67392</v>
      </c>
      <c r="J248" s="51">
        <v>22029</v>
      </c>
    </row>
    <row r="249" spans="2:10" ht="18" thickBot="1" x14ac:dyDescent="0.25">
      <c r="B249" s="5"/>
      <c r="C249" s="5"/>
      <c r="D249" s="5"/>
      <c r="E249" s="38"/>
      <c r="F249" s="5"/>
      <c r="G249" s="5"/>
      <c r="H249" s="5"/>
      <c r="I249" s="5"/>
      <c r="J249" s="5"/>
    </row>
    <row r="250" spans="2:10" x14ac:dyDescent="0.2">
      <c r="E250" s="9"/>
      <c r="F250" s="3"/>
      <c r="G250" s="3"/>
      <c r="H250" s="3"/>
      <c r="I250" s="3"/>
      <c r="J250" s="3"/>
    </row>
    <row r="251" spans="2:10" x14ac:dyDescent="0.2">
      <c r="E251" s="6"/>
      <c r="F251" s="7"/>
      <c r="G251" s="8" t="s">
        <v>109</v>
      </c>
      <c r="H251" s="7"/>
      <c r="I251" s="7"/>
      <c r="J251" s="7"/>
    </row>
    <row r="252" spans="2:10" x14ac:dyDescent="0.2">
      <c r="E252" s="9"/>
      <c r="F252" s="9"/>
      <c r="G252" s="9"/>
      <c r="H252" s="10" t="s">
        <v>50</v>
      </c>
      <c r="I252" s="10" t="s">
        <v>51</v>
      </c>
      <c r="J252" s="10" t="s">
        <v>76</v>
      </c>
    </row>
    <row r="253" spans="2:10" x14ac:dyDescent="0.2">
      <c r="B253" s="7"/>
      <c r="C253" s="7"/>
      <c r="D253" s="7"/>
      <c r="E253" s="12" t="s">
        <v>53</v>
      </c>
      <c r="F253" s="12" t="s">
        <v>54</v>
      </c>
      <c r="G253" s="12" t="s">
        <v>55</v>
      </c>
      <c r="H253" s="13" t="s">
        <v>56</v>
      </c>
      <c r="I253" s="13" t="s">
        <v>57</v>
      </c>
      <c r="J253" s="13" t="s">
        <v>58</v>
      </c>
    </row>
    <row r="254" spans="2:10" x14ac:dyDescent="0.2">
      <c r="E254" s="9"/>
      <c r="F254" s="15" t="s">
        <v>17</v>
      </c>
      <c r="G254" s="15" t="s">
        <v>77</v>
      </c>
      <c r="H254" s="15" t="s">
        <v>77</v>
      </c>
      <c r="I254" s="15" t="s">
        <v>77</v>
      </c>
      <c r="J254" s="15" t="s">
        <v>77</v>
      </c>
    </row>
    <row r="255" spans="2:10" x14ac:dyDescent="0.2">
      <c r="C255" s="1" t="s">
        <v>78</v>
      </c>
      <c r="E255" s="36">
        <v>837</v>
      </c>
      <c r="F255" s="19">
        <v>4721</v>
      </c>
      <c r="G255" s="19">
        <f>6555+0.4</f>
        <v>6555.4</v>
      </c>
      <c r="H255" s="19">
        <f>19014+0.4</f>
        <v>19014.400000000001</v>
      </c>
      <c r="I255" s="19">
        <f>33419+0.4</f>
        <v>33419.4</v>
      </c>
      <c r="J255" s="19">
        <f>14112+0.4</f>
        <v>14112.4</v>
      </c>
    </row>
    <row r="256" spans="2:10" x14ac:dyDescent="0.2">
      <c r="C256" s="1" t="s">
        <v>79</v>
      </c>
      <c r="E256" s="36">
        <v>833</v>
      </c>
      <c r="F256" s="19">
        <v>4708</v>
      </c>
      <c r="G256" s="19">
        <f>7204+0.4</f>
        <v>7204.4</v>
      </c>
      <c r="H256" s="19">
        <f>22116+0.4</f>
        <v>22116.400000000001</v>
      </c>
      <c r="I256" s="19">
        <f>39108+0.4</f>
        <v>39108.400000000001</v>
      </c>
      <c r="J256" s="19">
        <f>16733+0.4</f>
        <v>16733.400000000001</v>
      </c>
    </row>
    <row r="257" spans="3:10" x14ac:dyDescent="0.2">
      <c r="C257" s="1" t="s">
        <v>80</v>
      </c>
      <c r="E257" s="36">
        <v>796</v>
      </c>
      <c r="F257" s="19">
        <v>4428</v>
      </c>
      <c r="G257" s="19">
        <v>7068</v>
      </c>
      <c r="H257" s="19">
        <v>22029</v>
      </c>
      <c r="I257" s="19">
        <v>38626</v>
      </c>
      <c r="J257" s="19">
        <v>16379</v>
      </c>
    </row>
    <row r="258" spans="3:10" x14ac:dyDescent="0.2">
      <c r="C258" s="1" t="s">
        <v>81</v>
      </c>
      <c r="E258" s="36">
        <v>427</v>
      </c>
      <c r="F258" s="19">
        <v>3940</v>
      </c>
      <c r="G258" s="19">
        <v>7737</v>
      </c>
      <c r="H258" s="19">
        <f>22709-0.4</f>
        <v>22708.6</v>
      </c>
      <c r="I258" s="19">
        <v>39121</v>
      </c>
      <c r="J258" s="19">
        <v>15874</v>
      </c>
    </row>
    <row r="259" spans="3:10" x14ac:dyDescent="0.2">
      <c r="C259" s="1" t="s">
        <v>82</v>
      </c>
      <c r="E259" s="36">
        <v>406</v>
      </c>
      <c r="F259" s="19">
        <v>3790</v>
      </c>
      <c r="G259" s="19">
        <v>7761</v>
      </c>
      <c r="H259" s="19">
        <v>21208</v>
      </c>
      <c r="I259" s="19">
        <v>38200</v>
      </c>
      <c r="J259" s="19">
        <v>16525</v>
      </c>
    </row>
    <row r="260" spans="3:10" x14ac:dyDescent="0.2">
      <c r="E260" s="9"/>
    </row>
    <row r="261" spans="3:10" x14ac:dyDescent="0.2">
      <c r="C261" s="1" t="s">
        <v>83</v>
      </c>
      <c r="E261" s="36">
        <v>394</v>
      </c>
      <c r="F261" s="19">
        <v>3708</v>
      </c>
      <c r="G261" s="19">
        <v>7868</v>
      </c>
      <c r="H261" s="19">
        <v>21874</v>
      </c>
      <c r="I261" s="19">
        <v>38631</v>
      </c>
      <c r="J261" s="19">
        <v>16346</v>
      </c>
    </row>
    <row r="262" spans="3:10" x14ac:dyDescent="0.2">
      <c r="C262" s="1" t="s">
        <v>84</v>
      </c>
      <c r="E262" s="36">
        <v>367</v>
      </c>
      <c r="F262" s="19">
        <v>3530</v>
      </c>
      <c r="G262" s="19">
        <v>7688</v>
      </c>
      <c r="H262" s="19">
        <v>20094</v>
      </c>
      <c r="I262" s="19">
        <v>36645</v>
      </c>
      <c r="J262" s="19">
        <v>16330</v>
      </c>
    </row>
    <row r="263" spans="3:10" x14ac:dyDescent="0.2">
      <c r="C263" s="1" t="s">
        <v>85</v>
      </c>
      <c r="E263" s="36">
        <v>362</v>
      </c>
      <c r="F263" s="19">
        <v>3316</v>
      </c>
      <c r="G263" s="19">
        <v>7871</v>
      </c>
      <c r="H263" s="19">
        <v>20131</v>
      </c>
      <c r="I263" s="19">
        <v>36306</v>
      </c>
      <c r="J263" s="19">
        <v>15742</v>
      </c>
    </row>
    <row r="264" spans="3:10" x14ac:dyDescent="0.2">
      <c r="C264" s="1" t="s">
        <v>86</v>
      </c>
      <c r="E264" s="36">
        <v>364</v>
      </c>
      <c r="F264" s="19">
        <v>3417</v>
      </c>
      <c r="G264" s="19">
        <v>8216</v>
      </c>
      <c r="H264" s="19">
        <v>18854</v>
      </c>
      <c r="I264" s="19">
        <v>37470</v>
      </c>
      <c r="J264" s="19">
        <v>18200</v>
      </c>
    </row>
    <row r="265" spans="3:10" x14ac:dyDescent="0.2">
      <c r="C265" s="1" t="s">
        <v>87</v>
      </c>
      <c r="E265" s="36">
        <v>372</v>
      </c>
      <c r="F265" s="19">
        <v>3529</v>
      </c>
      <c r="G265" s="19">
        <v>8516</v>
      </c>
      <c r="H265" s="19">
        <v>21812</v>
      </c>
      <c r="I265" s="19">
        <v>38979</v>
      </c>
      <c r="J265" s="19">
        <v>16757</v>
      </c>
    </row>
    <row r="266" spans="3:10" x14ac:dyDescent="0.2">
      <c r="E266" s="9"/>
    </row>
    <row r="267" spans="3:10" x14ac:dyDescent="0.2">
      <c r="C267" s="1" t="s">
        <v>88</v>
      </c>
      <c r="E267" s="36">
        <v>368</v>
      </c>
      <c r="F267" s="19">
        <v>3566</v>
      </c>
      <c r="G267" s="19">
        <v>8820</v>
      </c>
      <c r="H267" s="19">
        <v>20911</v>
      </c>
      <c r="I267" s="19">
        <v>40909</v>
      </c>
      <c r="J267" s="19">
        <v>20002</v>
      </c>
    </row>
    <row r="268" spans="3:10" x14ac:dyDescent="0.2">
      <c r="C268" s="1" t="s">
        <v>89</v>
      </c>
      <c r="E268" s="36">
        <v>356</v>
      </c>
      <c r="F268" s="19">
        <v>3662</v>
      </c>
      <c r="G268" s="19">
        <v>9552</v>
      </c>
      <c r="H268" s="19">
        <v>23375</v>
      </c>
      <c r="I268" s="19">
        <v>44480</v>
      </c>
      <c r="J268" s="19">
        <v>20409</v>
      </c>
    </row>
    <row r="269" spans="3:10" x14ac:dyDescent="0.2">
      <c r="C269" s="1" t="s">
        <v>90</v>
      </c>
      <c r="E269" s="36">
        <v>360</v>
      </c>
      <c r="F269" s="19">
        <v>3568</v>
      </c>
      <c r="G269" s="19">
        <v>9534</v>
      </c>
      <c r="H269" s="19">
        <v>23699</v>
      </c>
      <c r="I269" s="19">
        <v>44929</v>
      </c>
      <c r="J269" s="19">
        <v>19899</v>
      </c>
    </row>
    <row r="270" spans="3:10" x14ac:dyDescent="0.2">
      <c r="C270" s="1" t="s">
        <v>91</v>
      </c>
      <c r="E270" s="36">
        <v>345</v>
      </c>
      <c r="F270" s="19">
        <v>3385</v>
      </c>
      <c r="G270" s="19">
        <v>9932</v>
      </c>
      <c r="H270" s="19">
        <v>23831</v>
      </c>
      <c r="I270" s="19">
        <v>46787</v>
      </c>
      <c r="J270" s="19">
        <v>22041</v>
      </c>
    </row>
    <row r="271" spans="3:10" x14ac:dyDescent="0.2">
      <c r="C271" s="1" t="s">
        <v>92</v>
      </c>
      <c r="E271" s="36">
        <v>334</v>
      </c>
      <c r="F271" s="19">
        <v>3338</v>
      </c>
      <c r="G271" s="19">
        <v>10093</v>
      </c>
      <c r="H271" s="19">
        <v>23630</v>
      </c>
      <c r="I271" s="19">
        <f>45335-0.2</f>
        <v>45334.8</v>
      </c>
      <c r="J271" s="19">
        <v>20754</v>
      </c>
    </row>
    <row r="272" spans="3:10" x14ac:dyDescent="0.2">
      <c r="E272" s="9"/>
    </row>
    <row r="273" spans="1:10" x14ac:dyDescent="0.2">
      <c r="C273" s="1" t="s">
        <v>93</v>
      </c>
      <c r="E273" s="36">
        <v>321</v>
      </c>
      <c r="F273" s="19">
        <v>3201</v>
      </c>
      <c r="G273" s="19">
        <v>9548</v>
      </c>
      <c r="H273" s="19">
        <v>22961</v>
      </c>
      <c r="I273" s="19">
        <v>43462</v>
      </c>
      <c r="J273" s="19">
        <f>19308+0.2</f>
        <v>19308.2</v>
      </c>
    </row>
    <row r="274" spans="1:10" x14ac:dyDescent="0.2">
      <c r="C274" s="1" t="s">
        <v>94</v>
      </c>
      <c r="E274" s="36">
        <v>307</v>
      </c>
      <c r="F274" s="19">
        <v>3075</v>
      </c>
      <c r="G274" s="19">
        <v>9659</v>
      </c>
      <c r="H274" s="19">
        <v>22532</v>
      </c>
      <c r="I274" s="19">
        <v>43095</v>
      </c>
      <c r="J274" s="19">
        <v>19516</v>
      </c>
    </row>
    <row r="275" spans="1:10" x14ac:dyDescent="0.2">
      <c r="C275" s="1" t="s">
        <v>95</v>
      </c>
      <c r="E275" s="36">
        <v>293</v>
      </c>
      <c r="F275" s="19">
        <v>3090</v>
      </c>
      <c r="G275" s="19">
        <v>9729</v>
      </c>
      <c r="H275" s="19">
        <v>25179</v>
      </c>
      <c r="I275" s="19">
        <f>47102-0.4</f>
        <v>47101.599999999999</v>
      </c>
      <c r="J275" s="19">
        <v>21042</v>
      </c>
    </row>
    <row r="276" spans="1:10" x14ac:dyDescent="0.2">
      <c r="C276" s="1" t="s">
        <v>96</v>
      </c>
      <c r="E276" s="36">
        <v>290</v>
      </c>
      <c r="F276" s="19">
        <v>3262</v>
      </c>
      <c r="G276" s="19">
        <v>10755</v>
      </c>
      <c r="H276" s="19">
        <v>26425</v>
      </c>
      <c r="I276" s="19">
        <v>50465</v>
      </c>
      <c r="J276" s="19">
        <v>22706</v>
      </c>
    </row>
    <row r="277" spans="1:10" x14ac:dyDescent="0.2">
      <c r="B277" s="34"/>
      <c r="C277" s="4" t="s">
        <v>363</v>
      </c>
      <c r="D277" s="4"/>
      <c r="E277" s="50">
        <v>279</v>
      </c>
      <c r="F277" s="51">
        <v>3112</v>
      </c>
      <c r="G277" s="51">
        <v>10918</v>
      </c>
      <c r="H277" s="51">
        <v>27323</v>
      </c>
      <c r="I277" s="51">
        <v>51197</v>
      </c>
      <c r="J277" s="51">
        <v>22429</v>
      </c>
    </row>
    <row r="278" spans="1:10" ht="18" thickBot="1" x14ac:dyDescent="0.25">
      <c r="B278" s="5"/>
      <c r="C278" s="5"/>
      <c r="D278" s="5"/>
      <c r="E278" s="38"/>
      <c r="F278" s="5"/>
      <c r="G278" s="5"/>
      <c r="H278" s="5"/>
      <c r="I278" s="5"/>
      <c r="J278" s="5"/>
    </row>
    <row r="279" spans="1:10" x14ac:dyDescent="0.2">
      <c r="E279" s="1" t="s">
        <v>70</v>
      </c>
      <c r="H279" s="1" t="s">
        <v>98</v>
      </c>
    </row>
    <row r="280" spans="1:10" x14ac:dyDescent="0.2">
      <c r="H280" s="1" t="s">
        <v>105</v>
      </c>
    </row>
    <row r="282" spans="1:10" x14ac:dyDescent="0.2">
      <c r="A282" s="1"/>
    </row>
    <row r="283" spans="1:10" x14ac:dyDescent="0.2">
      <c r="A283" s="1"/>
    </row>
    <row r="288" spans="1:10" x14ac:dyDescent="0.2">
      <c r="F288" s="4" t="s">
        <v>100</v>
      </c>
    </row>
    <row r="289" spans="2:10" x14ac:dyDescent="0.2">
      <c r="F289" s="1" t="s">
        <v>101</v>
      </c>
    </row>
    <row r="290" spans="2:10" ht="18" thickBot="1" x14ac:dyDescent="0.25">
      <c r="B290" s="5"/>
      <c r="C290" s="5"/>
      <c r="D290" s="5"/>
      <c r="E290" s="5"/>
      <c r="F290" s="35" t="s">
        <v>102</v>
      </c>
      <c r="G290" s="5"/>
      <c r="H290" s="5"/>
      <c r="I290" s="5"/>
      <c r="J290" s="5"/>
    </row>
    <row r="291" spans="2:10" x14ac:dyDescent="0.2">
      <c r="E291" s="9"/>
      <c r="F291" s="3"/>
      <c r="G291" s="3"/>
      <c r="H291" s="3"/>
      <c r="I291" s="3"/>
      <c r="J291" s="3"/>
    </row>
    <row r="292" spans="2:10" x14ac:dyDescent="0.2">
      <c r="E292" s="6"/>
      <c r="F292" s="7"/>
      <c r="G292" s="8" t="s">
        <v>110</v>
      </c>
      <c r="H292" s="7"/>
      <c r="I292" s="7"/>
      <c r="J292" s="7"/>
    </row>
    <row r="293" spans="2:10" x14ac:dyDescent="0.2">
      <c r="E293" s="9"/>
      <c r="F293" s="9"/>
      <c r="G293" s="9"/>
      <c r="H293" s="10" t="s">
        <v>50</v>
      </c>
      <c r="I293" s="10" t="s">
        <v>51</v>
      </c>
      <c r="J293" s="10" t="s">
        <v>76</v>
      </c>
    </row>
    <row r="294" spans="2:10" x14ac:dyDescent="0.2">
      <c r="B294" s="7"/>
      <c r="C294" s="7"/>
      <c r="D294" s="7"/>
      <c r="E294" s="12" t="s">
        <v>53</v>
      </c>
      <c r="F294" s="12" t="s">
        <v>54</v>
      </c>
      <c r="G294" s="12" t="s">
        <v>55</v>
      </c>
      <c r="H294" s="13" t="s">
        <v>56</v>
      </c>
      <c r="I294" s="13" t="s">
        <v>57</v>
      </c>
      <c r="J294" s="13" t="s">
        <v>58</v>
      </c>
    </row>
    <row r="295" spans="2:10" x14ac:dyDescent="0.2">
      <c r="E295" s="9"/>
      <c r="F295" s="15" t="s">
        <v>17</v>
      </c>
      <c r="G295" s="15" t="s">
        <v>77</v>
      </c>
      <c r="H295" s="15" t="s">
        <v>77</v>
      </c>
      <c r="I295" s="15" t="s">
        <v>77</v>
      </c>
      <c r="J295" s="15" t="s">
        <v>77</v>
      </c>
    </row>
    <row r="296" spans="2:10" x14ac:dyDescent="0.2">
      <c r="C296" s="1" t="s">
        <v>78</v>
      </c>
      <c r="E296" s="36">
        <v>100</v>
      </c>
      <c r="F296" s="19">
        <v>1974</v>
      </c>
      <c r="G296" s="19">
        <f>4799+0.4</f>
        <v>4799.3999999999996</v>
      </c>
      <c r="H296" s="19">
        <f>15709+0.4</f>
        <v>15709.4</v>
      </c>
      <c r="I296" s="19">
        <f>25101+0.4</f>
        <v>25101.4</v>
      </c>
      <c r="J296" s="19">
        <f>8738+0.4</f>
        <v>8738.4</v>
      </c>
    </row>
    <row r="297" spans="2:10" x14ac:dyDescent="0.2">
      <c r="C297" s="1" t="s">
        <v>79</v>
      </c>
      <c r="E297" s="36">
        <v>98</v>
      </c>
      <c r="F297" s="19">
        <v>1932</v>
      </c>
      <c r="G297" s="19">
        <f>5194+0.4</f>
        <v>5194.3999999999996</v>
      </c>
      <c r="H297" s="19">
        <f>18192+0.4</f>
        <v>18192.400000000001</v>
      </c>
      <c r="I297" s="19">
        <f>28695+0.4</f>
        <v>28695.4</v>
      </c>
      <c r="J297" s="19">
        <f>9733+0.4</f>
        <v>9733.4</v>
      </c>
    </row>
    <row r="298" spans="2:10" x14ac:dyDescent="0.2">
      <c r="C298" s="1" t="s">
        <v>80</v>
      </c>
      <c r="E298" s="36">
        <v>95</v>
      </c>
      <c r="F298" s="19">
        <v>1783</v>
      </c>
      <c r="G298" s="19">
        <v>5140</v>
      </c>
      <c r="H298" s="19">
        <v>23236</v>
      </c>
      <c r="I298" s="19">
        <v>32219</v>
      </c>
      <c r="J298" s="19">
        <v>9166</v>
      </c>
    </row>
    <row r="299" spans="2:10" x14ac:dyDescent="0.2">
      <c r="C299" s="1" t="s">
        <v>81</v>
      </c>
      <c r="E299" s="36">
        <v>70</v>
      </c>
      <c r="F299" s="19">
        <v>1694</v>
      </c>
      <c r="G299" s="19">
        <v>5464</v>
      </c>
      <c r="H299" s="19">
        <v>20645</v>
      </c>
      <c r="I299" s="19">
        <v>29018</v>
      </c>
      <c r="J299" s="19">
        <v>7456</v>
      </c>
    </row>
    <row r="300" spans="2:10" x14ac:dyDescent="0.2">
      <c r="C300" s="1" t="s">
        <v>82</v>
      </c>
      <c r="E300" s="36">
        <v>70</v>
      </c>
      <c r="F300" s="19">
        <v>1679</v>
      </c>
      <c r="G300" s="19">
        <v>5417</v>
      </c>
      <c r="H300" s="19">
        <v>19908</v>
      </c>
      <c r="I300" s="19">
        <v>30888</v>
      </c>
      <c r="J300" s="19">
        <v>10280</v>
      </c>
    </row>
    <row r="301" spans="2:10" x14ac:dyDescent="0.2">
      <c r="E301" s="9"/>
    </row>
    <row r="302" spans="2:10" x14ac:dyDescent="0.2">
      <c r="C302" s="1" t="s">
        <v>83</v>
      </c>
      <c r="E302" s="36">
        <v>67</v>
      </c>
      <c r="F302" s="19">
        <v>1568</v>
      </c>
      <c r="G302" s="19">
        <v>5119</v>
      </c>
      <c r="H302" s="19">
        <v>19189</v>
      </c>
      <c r="I302" s="19">
        <v>28828</v>
      </c>
      <c r="J302" s="19">
        <v>8968</v>
      </c>
    </row>
    <row r="303" spans="2:10" x14ac:dyDescent="0.2">
      <c r="C303" s="1" t="s">
        <v>84</v>
      </c>
      <c r="E303" s="36">
        <v>65</v>
      </c>
      <c r="F303" s="19">
        <v>1453</v>
      </c>
      <c r="G303" s="19">
        <v>4752</v>
      </c>
      <c r="H303" s="19">
        <v>18111</v>
      </c>
      <c r="I303" s="19">
        <v>27292</v>
      </c>
      <c r="J303" s="19">
        <v>8825</v>
      </c>
    </row>
    <row r="304" spans="2:10" x14ac:dyDescent="0.2">
      <c r="C304" s="1" t="s">
        <v>85</v>
      </c>
      <c r="E304" s="36">
        <v>64</v>
      </c>
      <c r="F304" s="19">
        <v>1522</v>
      </c>
      <c r="G304" s="19">
        <v>5638</v>
      </c>
      <c r="H304" s="19">
        <v>19887</v>
      </c>
      <c r="I304" s="19">
        <v>30035</v>
      </c>
      <c r="J304" s="19">
        <v>9599</v>
      </c>
    </row>
    <row r="305" spans="2:10" x14ac:dyDescent="0.2">
      <c r="C305" s="1" t="s">
        <v>86</v>
      </c>
      <c r="E305" s="36">
        <v>66</v>
      </c>
      <c r="F305" s="19">
        <v>1543</v>
      </c>
      <c r="G305" s="19">
        <v>5882</v>
      </c>
      <c r="H305" s="19">
        <v>20482</v>
      </c>
      <c r="I305" s="19">
        <v>29148</v>
      </c>
      <c r="J305" s="19">
        <v>8526</v>
      </c>
    </row>
    <row r="306" spans="2:10" x14ac:dyDescent="0.2">
      <c r="C306" s="1" t="s">
        <v>87</v>
      </c>
      <c r="E306" s="36">
        <v>61</v>
      </c>
      <c r="F306" s="19">
        <v>1407</v>
      </c>
      <c r="G306" s="19">
        <v>5260</v>
      </c>
      <c r="H306" s="19">
        <v>16192</v>
      </c>
      <c r="I306" s="19">
        <v>25802</v>
      </c>
      <c r="J306" s="19">
        <v>8371</v>
      </c>
    </row>
    <row r="307" spans="2:10" x14ac:dyDescent="0.2">
      <c r="E307" s="9"/>
    </row>
    <row r="308" spans="2:10" x14ac:dyDescent="0.2">
      <c r="C308" s="1" t="s">
        <v>88</v>
      </c>
      <c r="E308" s="36">
        <v>61</v>
      </c>
      <c r="F308" s="19">
        <v>1323</v>
      </c>
      <c r="G308" s="19">
        <v>5421</v>
      </c>
      <c r="H308" s="19">
        <v>15426</v>
      </c>
      <c r="I308" s="19">
        <v>26251</v>
      </c>
      <c r="J308" s="19">
        <v>10119</v>
      </c>
    </row>
    <row r="309" spans="2:10" x14ac:dyDescent="0.2">
      <c r="C309" s="1" t="s">
        <v>89</v>
      </c>
      <c r="E309" s="36">
        <v>61</v>
      </c>
      <c r="F309" s="19">
        <v>1257</v>
      </c>
      <c r="G309" s="19">
        <v>5209</v>
      </c>
      <c r="H309" s="19">
        <v>15808</v>
      </c>
      <c r="I309" s="19">
        <v>26749</v>
      </c>
      <c r="J309" s="19">
        <v>9694</v>
      </c>
    </row>
    <row r="310" spans="2:10" x14ac:dyDescent="0.2">
      <c r="C310" s="1" t="s">
        <v>90</v>
      </c>
      <c r="E310" s="36">
        <v>58</v>
      </c>
      <c r="F310" s="19">
        <v>1253</v>
      </c>
      <c r="G310" s="19">
        <v>5500</v>
      </c>
      <c r="H310" s="19">
        <v>16296</v>
      </c>
      <c r="I310" s="19">
        <v>26017</v>
      </c>
      <c r="J310" s="19">
        <v>9069</v>
      </c>
    </row>
    <row r="311" spans="2:10" x14ac:dyDescent="0.2">
      <c r="C311" s="1" t="s">
        <v>91</v>
      </c>
      <c r="E311" s="36">
        <v>55</v>
      </c>
      <c r="F311" s="19">
        <v>1236</v>
      </c>
      <c r="G311" s="19">
        <v>5383</v>
      </c>
      <c r="H311" s="19">
        <v>17699</v>
      </c>
      <c r="I311" s="19">
        <v>28076</v>
      </c>
      <c r="J311" s="19">
        <v>9983</v>
      </c>
    </row>
    <row r="312" spans="2:10" x14ac:dyDescent="0.2">
      <c r="C312" s="1" t="s">
        <v>92</v>
      </c>
      <c r="E312" s="36">
        <v>54</v>
      </c>
      <c r="F312" s="19">
        <v>1191</v>
      </c>
      <c r="G312" s="19">
        <v>5672</v>
      </c>
      <c r="H312" s="19">
        <v>17148</v>
      </c>
      <c r="I312" s="19">
        <v>28097</v>
      </c>
      <c r="J312" s="19">
        <v>9422</v>
      </c>
    </row>
    <row r="313" spans="2:10" x14ac:dyDescent="0.2">
      <c r="E313" s="9"/>
    </row>
    <row r="314" spans="2:10" x14ac:dyDescent="0.2">
      <c r="C314" s="1" t="s">
        <v>93</v>
      </c>
      <c r="E314" s="36">
        <v>56</v>
      </c>
      <c r="F314" s="19">
        <v>1123</v>
      </c>
      <c r="G314" s="19">
        <v>5940</v>
      </c>
      <c r="H314" s="19">
        <v>15625</v>
      </c>
      <c r="I314" s="19">
        <v>25188</v>
      </c>
      <c r="J314" s="19">
        <v>8232</v>
      </c>
    </row>
    <row r="315" spans="2:10" x14ac:dyDescent="0.2">
      <c r="C315" s="1" t="s">
        <v>94</v>
      </c>
      <c r="E315" s="36">
        <v>54</v>
      </c>
      <c r="F315" s="19">
        <v>1162</v>
      </c>
      <c r="G315" s="19">
        <v>5438</v>
      </c>
      <c r="H315" s="19">
        <v>19279</v>
      </c>
      <c r="I315" s="19">
        <v>30534</v>
      </c>
      <c r="J315" s="19">
        <v>9240</v>
      </c>
    </row>
    <row r="316" spans="2:10" x14ac:dyDescent="0.2">
      <c r="C316" s="1" t="s">
        <v>95</v>
      </c>
      <c r="E316" s="36">
        <v>52</v>
      </c>
      <c r="F316" s="19">
        <v>906</v>
      </c>
      <c r="G316" s="19">
        <v>4074</v>
      </c>
      <c r="H316" s="19">
        <v>15193</v>
      </c>
      <c r="I316" s="19">
        <f>21840-0.4</f>
        <v>21839.599999999999</v>
      </c>
      <c r="J316" s="19">
        <v>5305</v>
      </c>
    </row>
    <row r="317" spans="2:10" x14ac:dyDescent="0.2">
      <c r="C317" s="1" t="s">
        <v>96</v>
      </c>
      <c r="E317" s="36">
        <v>57</v>
      </c>
      <c r="F317" s="19">
        <v>1046</v>
      </c>
      <c r="G317" s="19">
        <v>4906</v>
      </c>
      <c r="H317" s="19">
        <v>14491</v>
      </c>
      <c r="I317" s="19">
        <v>25881</v>
      </c>
      <c r="J317" s="19">
        <v>9937</v>
      </c>
    </row>
    <row r="318" spans="2:10" x14ac:dyDescent="0.2">
      <c r="B318" s="34"/>
      <c r="C318" s="4" t="s">
        <v>363</v>
      </c>
      <c r="D318" s="34"/>
      <c r="E318" s="50">
        <v>52</v>
      </c>
      <c r="F318" s="51">
        <v>988</v>
      </c>
      <c r="G318" s="51">
        <v>4725</v>
      </c>
      <c r="H318" s="51">
        <v>14152</v>
      </c>
      <c r="I318" s="51">
        <v>26695</v>
      </c>
      <c r="J318" s="51">
        <v>10739</v>
      </c>
    </row>
    <row r="319" spans="2:10" ht="18" thickBot="1" x14ac:dyDescent="0.25">
      <c r="B319" s="5"/>
      <c r="C319" s="5"/>
      <c r="D319" s="5"/>
      <c r="E319" s="38"/>
      <c r="F319" s="5"/>
      <c r="G319" s="5"/>
      <c r="H319" s="5"/>
      <c r="I319" s="5"/>
      <c r="J319" s="5"/>
    </row>
    <row r="320" spans="2:10" x14ac:dyDescent="0.2">
      <c r="E320" s="9"/>
      <c r="F320" s="3"/>
      <c r="G320" s="3"/>
      <c r="H320" s="3"/>
      <c r="I320" s="3"/>
      <c r="J320" s="3"/>
    </row>
    <row r="321" spans="2:10" x14ac:dyDescent="0.2">
      <c r="E321" s="6"/>
      <c r="F321" s="7"/>
      <c r="G321" s="8" t="s">
        <v>111</v>
      </c>
      <c r="H321" s="7"/>
      <c r="I321" s="7"/>
      <c r="J321" s="7"/>
    </row>
    <row r="322" spans="2:10" x14ac:dyDescent="0.2">
      <c r="E322" s="9"/>
      <c r="F322" s="9"/>
      <c r="G322" s="9"/>
      <c r="H322" s="10" t="s">
        <v>50</v>
      </c>
      <c r="I322" s="10" t="s">
        <v>51</v>
      </c>
      <c r="J322" s="10" t="s">
        <v>76</v>
      </c>
    </row>
    <row r="323" spans="2:10" x14ac:dyDescent="0.2">
      <c r="B323" s="7"/>
      <c r="C323" s="7"/>
      <c r="D323" s="7"/>
      <c r="E323" s="12" t="s">
        <v>53</v>
      </c>
      <c r="F323" s="12" t="s">
        <v>54</v>
      </c>
      <c r="G323" s="12" t="s">
        <v>55</v>
      </c>
      <c r="H323" s="13" t="s">
        <v>56</v>
      </c>
      <c r="I323" s="13" t="s">
        <v>57</v>
      </c>
      <c r="J323" s="13" t="s">
        <v>58</v>
      </c>
    </row>
    <row r="324" spans="2:10" x14ac:dyDescent="0.2">
      <c r="E324" s="9"/>
      <c r="F324" s="15" t="s">
        <v>17</v>
      </c>
      <c r="G324" s="15" t="s">
        <v>77</v>
      </c>
      <c r="H324" s="15" t="s">
        <v>77</v>
      </c>
      <c r="I324" s="15" t="s">
        <v>77</v>
      </c>
      <c r="J324" s="15" t="s">
        <v>77</v>
      </c>
    </row>
    <row r="325" spans="2:10" x14ac:dyDescent="0.2">
      <c r="C325" s="1" t="s">
        <v>78</v>
      </c>
      <c r="E325" s="36">
        <v>228</v>
      </c>
      <c r="F325" s="19">
        <v>1603</v>
      </c>
      <c r="G325" s="19">
        <f>2627+0.4</f>
        <v>2627.4</v>
      </c>
      <c r="H325" s="19">
        <f>3508+0.4</f>
        <v>3508.4</v>
      </c>
      <c r="I325" s="19">
        <f>8215+0.4</f>
        <v>8215.4</v>
      </c>
      <c r="J325" s="19">
        <f>4566+0.4</f>
        <v>4566.3999999999996</v>
      </c>
    </row>
    <row r="326" spans="2:10" x14ac:dyDescent="0.2">
      <c r="C326" s="1" t="s">
        <v>79</v>
      </c>
      <c r="E326" s="36">
        <v>226</v>
      </c>
      <c r="F326" s="19">
        <v>1444</v>
      </c>
      <c r="G326" s="19">
        <f>2277+0.4</f>
        <v>2277.4</v>
      </c>
      <c r="H326" s="19">
        <f>3474+0.4</f>
        <v>3474.4</v>
      </c>
      <c r="I326" s="19">
        <f>8229+0.4</f>
        <v>8229.4</v>
      </c>
      <c r="J326" s="19">
        <f>4649+0.4</f>
        <v>4649.3999999999996</v>
      </c>
    </row>
    <row r="327" spans="2:10" x14ac:dyDescent="0.2">
      <c r="C327" s="1" t="s">
        <v>80</v>
      </c>
      <c r="E327" s="36">
        <v>225</v>
      </c>
      <c r="F327" s="19">
        <v>1630</v>
      </c>
      <c r="G327" s="19">
        <v>2890</v>
      </c>
      <c r="H327" s="19">
        <v>4207</v>
      </c>
      <c r="I327" s="19">
        <v>10123</v>
      </c>
      <c r="J327" s="19">
        <v>5731</v>
      </c>
    </row>
    <row r="328" spans="2:10" x14ac:dyDescent="0.2">
      <c r="C328" s="1" t="s">
        <v>81</v>
      </c>
      <c r="E328" s="36">
        <v>157</v>
      </c>
      <c r="F328" s="19">
        <v>1755</v>
      </c>
      <c r="G328" s="19">
        <v>3705</v>
      </c>
      <c r="H328" s="19">
        <v>5362</v>
      </c>
      <c r="I328" s="19">
        <v>12472</v>
      </c>
      <c r="J328" s="19">
        <v>6833</v>
      </c>
    </row>
    <row r="329" spans="2:10" x14ac:dyDescent="0.2">
      <c r="C329" s="1" t="s">
        <v>82</v>
      </c>
      <c r="E329" s="36">
        <v>163</v>
      </c>
      <c r="F329" s="19">
        <v>1719</v>
      </c>
      <c r="G329" s="19">
        <v>3713</v>
      </c>
      <c r="H329" s="19">
        <v>5661</v>
      </c>
      <c r="I329" s="19">
        <v>13013</v>
      </c>
      <c r="J329" s="19">
        <v>7068</v>
      </c>
    </row>
    <row r="330" spans="2:10" x14ac:dyDescent="0.2">
      <c r="E330" s="9"/>
    </row>
    <row r="331" spans="2:10" x14ac:dyDescent="0.2">
      <c r="C331" s="1" t="s">
        <v>83</v>
      </c>
      <c r="E331" s="36">
        <v>168</v>
      </c>
      <c r="F331" s="19">
        <v>1716</v>
      </c>
      <c r="G331" s="19">
        <v>3927</v>
      </c>
      <c r="H331" s="19">
        <v>6081</v>
      </c>
      <c r="I331" s="19">
        <v>14146</v>
      </c>
      <c r="J331" s="19">
        <v>7805</v>
      </c>
    </row>
    <row r="332" spans="2:10" x14ac:dyDescent="0.2">
      <c r="C332" s="1" t="s">
        <v>84</v>
      </c>
      <c r="E332" s="36">
        <v>157</v>
      </c>
      <c r="F332" s="19">
        <v>1615</v>
      </c>
      <c r="G332" s="19">
        <v>3824</v>
      </c>
      <c r="H332" s="19">
        <v>6272</v>
      </c>
      <c r="I332" s="19">
        <v>15180</v>
      </c>
      <c r="J332" s="19">
        <v>8639</v>
      </c>
    </row>
    <row r="333" spans="2:10" x14ac:dyDescent="0.2">
      <c r="C333" s="1" t="s">
        <v>85</v>
      </c>
      <c r="E333" s="36">
        <v>163</v>
      </c>
      <c r="F333" s="19">
        <v>1672</v>
      </c>
      <c r="G333" s="19">
        <v>4128</v>
      </c>
      <c r="H333" s="19">
        <v>6307</v>
      </c>
      <c r="I333" s="19">
        <v>14357</v>
      </c>
      <c r="J333" s="19">
        <v>7808</v>
      </c>
    </row>
    <row r="334" spans="2:10" x14ac:dyDescent="0.2">
      <c r="C334" s="1" t="s">
        <v>86</v>
      </c>
      <c r="E334" s="36">
        <v>161</v>
      </c>
      <c r="F334" s="19">
        <v>1729</v>
      </c>
      <c r="G334" s="19">
        <v>4404</v>
      </c>
      <c r="H334" s="19">
        <v>6654</v>
      </c>
      <c r="I334" s="19">
        <v>15142</v>
      </c>
      <c r="J334" s="19">
        <v>8170</v>
      </c>
    </row>
    <row r="335" spans="2:10" x14ac:dyDescent="0.2">
      <c r="C335" s="1" t="s">
        <v>87</v>
      </c>
      <c r="E335" s="36">
        <v>156</v>
      </c>
      <c r="F335" s="19">
        <v>1616</v>
      </c>
      <c r="G335" s="19">
        <v>4197</v>
      </c>
      <c r="H335" s="19">
        <v>6083</v>
      </c>
      <c r="I335" s="19">
        <v>14308</v>
      </c>
      <c r="J335" s="19">
        <v>7963</v>
      </c>
    </row>
    <row r="336" spans="2:10" x14ac:dyDescent="0.2">
      <c r="E336" s="9"/>
    </row>
    <row r="337" spans="1:10" x14ac:dyDescent="0.2">
      <c r="C337" s="1" t="s">
        <v>88</v>
      </c>
      <c r="E337" s="36">
        <v>161</v>
      </c>
      <c r="F337" s="19">
        <v>1749</v>
      </c>
      <c r="G337" s="19">
        <v>4749</v>
      </c>
      <c r="H337" s="19">
        <v>6617</v>
      </c>
      <c r="I337" s="19">
        <v>16224</v>
      </c>
      <c r="J337" s="19">
        <v>9361</v>
      </c>
    </row>
    <row r="338" spans="1:10" x14ac:dyDescent="0.2">
      <c r="C338" s="1" t="s">
        <v>89</v>
      </c>
      <c r="E338" s="36">
        <v>150</v>
      </c>
      <c r="F338" s="19">
        <v>1706</v>
      </c>
      <c r="G338" s="19">
        <v>4974</v>
      </c>
      <c r="H338" s="19">
        <v>7249</v>
      </c>
      <c r="I338" s="19">
        <v>17695</v>
      </c>
      <c r="J338" s="19">
        <v>10003</v>
      </c>
    </row>
    <row r="339" spans="1:10" x14ac:dyDescent="0.2">
      <c r="C339" s="1" t="s">
        <v>90</v>
      </c>
      <c r="E339" s="36">
        <v>159</v>
      </c>
      <c r="F339" s="19">
        <v>1778</v>
      </c>
      <c r="G339" s="19">
        <v>5362</v>
      </c>
      <c r="H339" s="19">
        <v>8688</v>
      </c>
      <c r="I339" s="19">
        <v>20487</v>
      </c>
      <c r="J339" s="19">
        <v>11014</v>
      </c>
    </row>
    <row r="340" spans="1:10" x14ac:dyDescent="0.2">
      <c r="C340" s="1" t="s">
        <v>91</v>
      </c>
      <c r="E340" s="36">
        <v>152</v>
      </c>
      <c r="F340" s="19">
        <v>1759</v>
      </c>
      <c r="G340" s="19">
        <v>5681</v>
      </c>
      <c r="H340" s="19">
        <v>8338</v>
      </c>
      <c r="I340" s="19">
        <v>20957</v>
      </c>
      <c r="J340" s="19">
        <v>11803</v>
      </c>
    </row>
    <row r="341" spans="1:10" x14ac:dyDescent="0.2">
      <c r="C341" s="1" t="s">
        <v>92</v>
      </c>
      <c r="E341" s="36">
        <v>143</v>
      </c>
      <c r="F341" s="19">
        <v>1695</v>
      </c>
      <c r="G341" s="19">
        <v>5553</v>
      </c>
      <c r="H341" s="19">
        <v>8565</v>
      </c>
      <c r="I341" s="19">
        <v>20856</v>
      </c>
      <c r="J341" s="19">
        <v>11388</v>
      </c>
    </row>
    <row r="342" spans="1:10" x14ac:dyDescent="0.2">
      <c r="E342" s="9"/>
    </row>
    <row r="343" spans="1:10" x14ac:dyDescent="0.2">
      <c r="C343" s="1" t="s">
        <v>93</v>
      </c>
      <c r="E343" s="36">
        <v>140</v>
      </c>
      <c r="F343" s="19">
        <v>1715</v>
      </c>
      <c r="G343" s="19">
        <v>5827</v>
      </c>
      <c r="H343" s="19">
        <v>8133</v>
      </c>
      <c r="I343" s="19">
        <v>20792</v>
      </c>
      <c r="J343" s="19">
        <v>11634</v>
      </c>
    </row>
    <row r="344" spans="1:10" x14ac:dyDescent="0.2">
      <c r="C344" s="1" t="s">
        <v>94</v>
      </c>
      <c r="E344" s="36">
        <v>129</v>
      </c>
      <c r="F344" s="19">
        <v>1671</v>
      </c>
      <c r="G344" s="19">
        <v>5888</v>
      </c>
      <c r="H344" s="19">
        <v>8072</v>
      </c>
      <c r="I344" s="19">
        <v>20292</v>
      </c>
      <c r="J344" s="19">
        <v>11238</v>
      </c>
    </row>
    <row r="345" spans="1:10" x14ac:dyDescent="0.2">
      <c r="C345" s="1" t="s">
        <v>95</v>
      </c>
      <c r="E345" s="36">
        <v>149</v>
      </c>
      <c r="F345" s="19">
        <v>1861</v>
      </c>
      <c r="G345" s="19">
        <v>6617</v>
      </c>
      <c r="H345" s="19">
        <v>8380</v>
      </c>
      <c r="I345" s="19">
        <v>21648</v>
      </c>
      <c r="J345" s="19">
        <v>12351</v>
      </c>
    </row>
    <row r="346" spans="1:10" x14ac:dyDescent="0.2">
      <c r="C346" s="1" t="s">
        <v>96</v>
      </c>
      <c r="E346" s="36">
        <v>142</v>
      </c>
      <c r="F346" s="19">
        <v>1797</v>
      </c>
      <c r="G346" s="19">
        <v>6623</v>
      </c>
      <c r="H346" s="19">
        <v>8567</v>
      </c>
      <c r="I346" s="19">
        <v>21381</v>
      </c>
      <c r="J346" s="19">
        <v>11974</v>
      </c>
    </row>
    <row r="347" spans="1:10" x14ac:dyDescent="0.2">
      <c r="B347" s="34"/>
      <c r="C347" s="4" t="s">
        <v>364</v>
      </c>
      <c r="D347" s="34"/>
      <c r="E347" s="50">
        <v>140</v>
      </c>
      <c r="F347" s="51">
        <v>1815</v>
      </c>
      <c r="G347" s="51">
        <v>6921</v>
      </c>
      <c r="H347" s="51">
        <v>9060</v>
      </c>
      <c r="I347" s="51">
        <v>22078</v>
      </c>
      <c r="J347" s="51">
        <v>12073</v>
      </c>
    </row>
    <row r="348" spans="1:10" ht="18" thickBot="1" x14ac:dyDescent="0.25">
      <c r="B348" s="5"/>
      <c r="C348" s="5"/>
      <c r="D348" s="5"/>
      <c r="E348" s="38"/>
      <c r="F348" s="5"/>
      <c r="G348" s="5"/>
      <c r="H348" s="5"/>
      <c r="I348" s="5"/>
      <c r="J348" s="5"/>
    </row>
    <row r="349" spans="1:10" x14ac:dyDescent="0.2">
      <c r="E349" s="1" t="s">
        <v>70</v>
      </c>
      <c r="H349" s="1" t="s">
        <v>98</v>
      </c>
    </row>
    <row r="350" spans="1:10" x14ac:dyDescent="0.2">
      <c r="H350" s="1" t="s">
        <v>105</v>
      </c>
    </row>
    <row r="352" spans="1:10" x14ac:dyDescent="0.2">
      <c r="A352" s="1"/>
    </row>
    <row r="353" spans="1:10" x14ac:dyDescent="0.2">
      <c r="A353" s="1"/>
    </row>
    <row r="358" spans="1:10" x14ac:dyDescent="0.2">
      <c r="F358" s="4" t="s">
        <v>100</v>
      </c>
    </row>
    <row r="359" spans="1:10" x14ac:dyDescent="0.2">
      <c r="F359" s="1" t="s">
        <v>101</v>
      </c>
    </row>
    <row r="360" spans="1:10" ht="18" thickBot="1" x14ac:dyDescent="0.25">
      <c r="B360" s="5"/>
      <c r="C360" s="5"/>
      <c r="D360" s="5"/>
      <c r="E360" s="5"/>
      <c r="F360" s="35" t="s">
        <v>102</v>
      </c>
      <c r="G360" s="5"/>
      <c r="H360" s="5"/>
      <c r="I360" s="5"/>
      <c r="J360" s="5"/>
    </row>
    <row r="361" spans="1:10" x14ac:dyDescent="0.2">
      <c r="E361" s="9"/>
      <c r="F361" s="3"/>
      <c r="G361" s="3"/>
      <c r="H361" s="3"/>
      <c r="I361" s="3"/>
      <c r="J361" s="3"/>
    </row>
    <row r="362" spans="1:10" x14ac:dyDescent="0.2">
      <c r="E362" s="6"/>
      <c r="F362" s="7"/>
      <c r="G362" s="8" t="s">
        <v>112</v>
      </c>
      <c r="H362" s="7"/>
      <c r="I362" s="7"/>
      <c r="J362" s="7"/>
    </row>
    <row r="363" spans="1:10" x14ac:dyDescent="0.2">
      <c r="E363" s="9"/>
      <c r="F363" s="9"/>
      <c r="G363" s="9"/>
      <c r="H363" s="10" t="s">
        <v>50</v>
      </c>
      <c r="I363" s="10" t="s">
        <v>51</v>
      </c>
      <c r="J363" s="10" t="s">
        <v>76</v>
      </c>
    </row>
    <row r="364" spans="1:10" x14ac:dyDescent="0.2">
      <c r="B364" s="7"/>
      <c r="C364" s="7"/>
      <c r="D364" s="7"/>
      <c r="E364" s="12" t="s">
        <v>53</v>
      </c>
      <c r="F364" s="12" t="s">
        <v>54</v>
      </c>
      <c r="G364" s="12" t="s">
        <v>55</v>
      </c>
      <c r="H364" s="13" t="s">
        <v>56</v>
      </c>
      <c r="I364" s="13" t="s">
        <v>57</v>
      </c>
      <c r="J364" s="13" t="s">
        <v>58</v>
      </c>
    </row>
    <row r="365" spans="1:10" x14ac:dyDescent="0.2">
      <c r="E365" s="9"/>
      <c r="F365" s="15" t="s">
        <v>17</v>
      </c>
      <c r="G365" s="15" t="s">
        <v>77</v>
      </c>
      <c r="H365" s="15" t="s">
        <v>77</v>
      </c>
      <c r="I365" s="15" t="s">
        <v>77</v>
      </c>
      <c r="J365" s="15" t="s">
        <v>77</v>
      </c>
    </row>
    <row r="366" spans="1:10" x14ac:dyDescent="0.2">
      <c r="C366" s="1" t="s">
        <v>78</v>
      </c>
      <c r="E366" s="36">
        <v>100</v>
      </c>
      <c r="F366" s="19">
        <v>5324</v>
      </c>
      <c r="G366" s="19">
        <f>14238+0.4</f>
        <v>14238.4</v>
      </c>
      <c r="H366" s="19">
        <f>75659+0.4</f>
        <v>75659.399999999994</v>
      </c>
      <c r="I366" s="19">
        <f>135968+0.4</f>
        <v>135968.4</v>
      </c>
      <c r="J366" s="19">
        <f>51900+0.4</f>
        <v>51900.4</v>
      </c>
    </row>
    <row r="367" spans="1:10" x14ac:dyDescent="0.2">
      <c r="C367" s="1" t="s">
        <v>79</v>
      </c>
      <c r="E367" s="36">
        <v>98</v>
      </c>
      <c r="F367" s="19">
        <v>5305</v>
      </c>
      <c r="G367" s="19">
        <f>16400+0.4</f>
        <v>16400.400000000001</v>
      </c>
      <c r="H367" s="19">
        <f>86893+0.4</f>
        <v>86893.4</v>
      </c>
      <c r="I367" s="19">
        <f>147176+0.4</f>
        <v>147176.4</v>
      </c>
      <c r="J367" s="19">
        <f>54334+0.4</f>
        <v>54334.400000000001</v>
      </c>
    </row>
    <row r="368" spans="1:10" x14ac:dyDescent="0.2">
      <c r="C368" s="1" t="s">
        <v>80</v>
      </c>
      <c r="E368" s="36">
        <v>97</v>
      </c>
      <c r="F368" s="19">
        <v>5237</v>
      </c>
      <c r="G368" s="19">
        <v>17327</v>
      </c>
      <c r="H368" s="19">
        <v>107506</v>
      </c>
      <c r="I368" s="19">
        <v>170737</v>
      </c>
      <c r="J368" s="19">
        <v>57422</v>
      </c>
    </row>
    <row r="369" spans="3:10" x14ac:dyDescent="0.2">
      <c r="C369" s="1" t="s">
        <v>81</v>
      </c>
      <c r="E369" s="36">
        <v>91</v>
      </c>
      <c r="F369" s="19">
        <v>5187</v>
      </c>
      <c r="G369" s="19">
        <v>18209</v>
      </c>
      <c r="H369" s="19">
        <v>110541</v>
      </c>
      <c r="I369" s="19">
        <v>182443</v>
      </c>
      <c r="J369" s="19">
        <v>66826</v>
      </c>
    </row>
    <row r="370" spans="3:10" x14ac:dyDescent="0.2">
      <c r="C370" s="1" t="s">
        <v>82</v>
      </c>
      <c r="E370" s="36">
        <v>89</v>
      </c>
      <c r="F370" s="19">
        <v>5153</v>
      </c>
      <c r="G370" s="19">
        <v>19002</v>
      </c>
      <c r="H370" s="19">
        <v>108169</v>
      </c>
      <c r="I370" s="19">
        <v>189780</v>
      </c>
      <c r="J370" s="19">
        <v>73863</v>
      </c>
    </row>
    <row r="371" spans="3:10" x14ac:dyDescent="0.2">
      <c r="E371" s="9"/>
    </row>
    <row r="372" spans="3:10" x14ac:dyDescent="0.2">
      <c r="C372" s="1" t="s">
        <v>83</v>
      </c>
      <c r="E372" s="36">
        <v>92</v>
      </c>
      <c r="F372" s="19">
        <v>5262</v>
      </c>
      <c r="G372" s="19">
        <v>20185</v>
      </c>
      <c r="H372" s="19">
        <v>109397</v>
      </c>
      <c r="I372" s="19">
        <v>196708</v>
      </c>
      <c r="J372" s="19">
        <v>82231</v>
      </c>
    </row>
    <row r="373" spans="3:10" x14ac:dyDescent="0.2">
      <c r="C373" s="1" t="s">
        <v>84</v>
      </c>
      <c r="E373" s="36">
        <v>86</v>
      </c>
      <c r="F373" s="19">
        <v>5060</v>
      </c>
      <c r="G373" s="19">
        <v>19921</v>
      </c>
      <c r="H373" s="19">
        <v>116495</v>
      </c>
      <c r="I373" s="19">
        <v>208124</v>
      </c>
      <c r="J373" s="19">
        <v>87468</v>
      </c>
    </row>
    <row r="374" spans="3:10" x14ac:dyDescent="0.2">
      <c r="C374" s="1" t="s">
        <v>85</v>
      </c>
      <c r="E374" s="36">
        <v>87</v>
      </c>
      <c r="F374" s="19">
        <v>5160</v>
      </c>
      <c r="G374" s="19">
        <v>21885</v>
      </c>
      <c r="H374" s="19">
        <v>176651</v>
      </c>
      <c r="I374" s="19">
        <v>273425</v>
      </c>
      <c r="J374" s="19">
        <v>84199</v>
      </c>
    </row>
    <row r="375" spans="3:10" x14ac:dyDescent="0.2">
      <c r="C375" s="1" t="s">
        <v>86</v>
      </c>
      <c r="E375" s="36">
        <v>96</v>
      </c>
      <c r="F375" s="19">
        <v>5535</v>
      </c>
      <c r="G375" s="19">
        <v>23743</v>
      </c>
      <c r="H375" s="19">
        <v>130361</v>
      </c>
      <c r="I375" s="19">
        <v>230455</v>
      </c>
      <c r="J375" s="19">
        <v>87485</v>
      </c>
    </row>
    <row r="376" spans="3:10" x14ac:dyDescent="0.2">
      <c r="C376" s="1" t="s">
        <v>87</v>
      </c>
      <c r="E376" s="36">
        <v>99</v>
      </c>
      <c r="F376" s="19">
        <v>5846</v>
      </c>
      <c r="G376" s="19">
        <v>24694</v>
      </c>
      <c r="H376" s="19">
        <v>142358</v>
      </c>
      <c r="I376" s="19">
        <v>250578</v>
      </c>
      <c r="J376" s="19">
        <v>94313</v>
      </c>
    </row>
    <row r="377" spans="3:10" x14ac:dyDescent="0.2">
      <c r="E377" s="9"/>
    </row>
    <row r="378" spans="3:10" x14ac:dyDescent="0.2">
      <c r="C378" s="1" t="s">
        <v>88</v>
      </c>
      <c r="E378" s="36">
        <v>88</v>
      </c>
      <c r="F378" s="19">
        <v>5378</v>
      </c>
      <c r="G378" s="19">
        <v>24915</v>
      </c>
      <c r="H378" s="19">
        <v>139519</v>
      </c>
      <c r="I378" s="19">
        <v>262818</v>
      </c>
      <c r="J378" s="19">
        <v>105925</v>
      </c>
    </row>
    <row r="379" spans="3:10" x14ac:dyDescent="0.2">
      <c r="C379" s="1" t="s">
        <v>89</v>
      </c>
      <c r="E379" s="36">
        <v>84</v>
      </c>
      <c r="F379" s="19">
        <v>5473</v>
      </c>
      <c r="G379" s="19">
        <v>25268</v>
      </c>
      <c r="H379" s="19">
        <v>160369</v>
      </c>
      <c r="I379" s="19">
        <v>309345</v>
      </c>
      <c r="J379" s="19">
        <v>129483</v>
      </c>
    </row>
    <row r="380" spans="3:10" x14ac:dyDescent="0.2">
      <c r="C380" s="1" t="s">
        <v>90</v>
      </c>
      <c r="E380" s="36">
        <v>85</v>
      </c>
      <c r="F380" s="19">
        <v>5415</v>
      </c>
      <c r="G380" s="19">
        <v>26576</v>
      </c>
      <c r="H380" s="19">
        <v>175256</v>
      </c>
      <c r="I380" s="19">
        <v>343379</v>
      </c>
      <c r="J380" s="19">
        <v>147238</v>
      </c>
    </row>
    <row r="381" spans="3:10" x14ac:dyDescent="0.2">
      <c r="C381" s="1" t="s">
        <v>91</v>
      </c>
      <c r="E381" s="36">
        <v>83</v>
      </c>
      <c r="F381" s="19">
        <v>5581</v>
      </c>
      <c r="G381" s="19">
        <v>27590</v>
      </c>
      <c r="H381" s="19">
        <v>178348</v>
      </c>
      <c r="I381" s="19">
        <v>338697</v>
      </c>
      <c r="J381" s="19">
        <v>138866</v>
      </c>
    </row>
    <row r="382" spans="3:10" x14ac:dyDescent="0.2">
      <c r="C382" s="1" t="s">
        <v>92</v>
      </c>
      <c r="E382" s="36">
        <v>85</v>
      </c>
      <c r="F382" s="19">
        <v>5388</v>
      </c>
      <c r="G382" s="19">
        <v>27910</v>
      </c>
      <c r="H382" s="19">
        <v>171084</v>
      </c>
      <c r="I382" s="19">
        <f>341581-0.4</f>
        <v>341580.6</v>
      </c>
      <c r="J382" s="19">
        <v>146683</v>
      </c>
    </row>
    <row r="383" spans="3:10" x14ac:dyDescent="0.2">
      <c r="E383" s="9"/>
    </row>
    <row r="384" spans="3:10" x14ac:dyDescent="0.2">
      <c r="C384" s="1" t="s">
        <v>93</v>
      </c>
      <c r="E384" s="36">
        <v>85</v>
      </c>
      <c r="F384" s="19">
        <v>5373</v>
      </c>
      <c r="G384" s="19">
        <v>29150</v>
      </c>
      <c r="H384" s="19">
        <v>162428</v>
      </c>
      <c r="I384" s="19">
        <v>340517</v>
      </c>
      <c r="J384" s="19">
        <v>152864</v>
      </c>
    </row>
    <row r="385" spans="2:10" x14ac:dyDescent="0.2">
      <c r="C385" s="1" t="s">
        <v>94</v>
      </c>
      <c r="E385" s="36">
        <v>83</v>
      </c>
      <c r="F385" s="19">
        <v>5200</v>
      </c>
      <c r="G385" s="19">
        <v>28845</v>
      </c>
      <c r="H385" s="19">
        <v>153006</v>
      </c>
      <c r="I385" s="19">
        <v>331380</v>
      </c>
      <c r="J385" s="19">
        <v>150463</v>
      </c>
    </row>
    <row r="386" spans="2:10" x14ac:dyDescent="0.2">
      <c r="C386" s="1" t="s">
        <v>95</v>
      </c>
      <c r="E386" s="36">
        <v>79</v>
      </c>
      <c r="F386" s="19">
        <v>4874</v>
      </c>
      <c r="G386" s="19">
        <v>27489</v>
      </c>
      <c r="H386" s="19">
        <v>159663</v>
      </c>
      <c r="I386" s="19">
        <v>340133</v>
      </c>
      <c r="J386" s="19">
        <v>163411</v>
      </c>
    </row>
    <row r="387" spans="2:10" x14ac:dyDescent="0.2">
      <c r="C387" s="1" t="s">
        <v>96</v>
      </c>
      <c r="E387" s="36">
        <v>81</v>
      </c>
      <c r="F387" s="19">
        <v>5140</v>
      </c>
      <c r="G387" s="19">
        <v>29915</v>
      </c>
      <c r="H387" s="19">
        <v>158869</v>
      </c>
      <c r="I387" s="19">
        <v>344052</v>
      </c>
      <c r="J387" s="19">
        <v>159549</v>
      </c>
    </row>
    <row r="388" spans="2:10" x14ac:dyDescent="0.2">
      <c r="B388" s="34"/>
      <c r="C388" s="4" t="s">
        <v>365</v>
      </c>
      <c r="D388" s="34"/>
      <c r="E388" s="50">
        <v>79</v>
      </c>
      <c r="F388" s="51">
        <v>5175</v>
      </c>
      <c r="G388" s="51">
        <v>30803</v>
      </c>
      <c r="H388" s="51">
        <v>179446</v>
      </c>
      <c r="I388" s="51">
        <v>380763</v>
      </c>
      <c r="J388" s="51">
        <v>172221</v>
      </c>
    </row>
    <row r="389" spans="2:10" ht="18" thickBot="1" x14ac:dyDescent="0.25">
      <c r="B389" s="5"/>
      <c r="C389" s="5"/>
      <c r="D389" s="5"/>
      <c r="E389" s="38"/>
      <c r="F389" s="5"/>
      <c r="G389" s="5"/>
      <c r="H389" s="5"/>
      <c r="I389" s="5"/>
      <c r="J389" s="5"/>
    </row>
    <row r="390" spans="2:10" x14ac:dyDescent="0.2">
      <c r="E390" s="9"/>
      <c r="F390" s="3"/>
      <c r="G390" s="3"/>
      <c r="H390" s="3"/>
      <c r="I390" s="3"/>
      <c r="J390" s="3"/>
    </row>
    <row r="391" spans="2:10" x14ac:dyDescent="0.2">
      <c r="E391" s="6"/>
      <c r="F391" s="7"/>
      <c r="G391" s="8" t="s">
        <v>114</v>
      </c>
      <c r="H391" s="7"/>
      <c r="I391" s="7"/>
      <c r="J391" s="7"/>
    </row>
    <row r="392" spans="2:10" x14ac:dyDescent="0.2">
      <c r="E392" s="9"/>
      <c r="F392" s="9"/>
      <c r="G392" s="9"/>
      <c r="H392" s="10" t="s">
        <v>50</v>
      </c>
      <c r="I392" s="10" t="s">
        <v>51</v>
      </c>
      <c r="J392" s="10" t="s">
        <v>76</v>
      </c>
    </row>
    <row r="393" spans="2:10" x14ac:dyDescent="0.2">
      <c r="B393" s="7"/>
      <c r="C393" s="7"/>
      <c r="D393" s="7"/>
      <c r="E393" s="12" t="s">
        <v>53</v>
      </c>
      <c r="F393" s="12" t="s">
        <v>54</v>
      </c>
      <c r="G393" s="12" t="s">
        <v>55</v>
      </c>
      <c r="H393" s="13" t="s">
        <v>56</v>
      </c>
      <c r="I393" s="13" t="s">
        <v>57</v>
      </c>
      <c r="J393" s="13" t="s">
        <v>58</v>
      </c>
    </row>
    <row r="394" spans="2:10" x14ac:dyDescent="0.2">
      <c r="E394" s="9"/>
      <c r="F394" s="15" t="s">
        <v>17</v>
      </c>
      <c r="G394" s="15" t="s">
        <v>77</v>
      </c>
      <c r="H394" s="15" t="s">
        <v>77</v>
      </c>
      <c r="I394" s="15" t="s">
        <v>77</v>
      </c>
      <c r="J394" s="15" t="s">
        <v>77</v>
      </c>
    </row>
    <row r="395" spans="2:10" x14ac:dyDescent="0.2">
      <c r="C395" s="1" t="s">
        <v>78</v>
      </c>
      <c r="E395" s="36">
        <v>10</v>
      </c>
      <c r="F395" s="19">
        <v>3350</v>
      </c>
      <c r="G395" s="19">
        <f>13162+0.4</f>
        <v>13162.4</v>
      </c>
      <c r="H395" s="19">
        <f>455294+0.4</f>
        <v>455294.4</v>
      </c>
      <c r="I395" s="19">
        <f>562152+0.4</f>
        <v>562152.4</v>
      </c>
      <c r="J395" s="19">
        <f>56788+0.4</f>
        <v>56788.4</v>
      </c>
    </row>
    <row r="396" spans="2:10" x14ac:dyDescent="0.2">
      <c r="C396" s="1" t="s">
        <v>79</v>
      </c>
      <c r="E396" s="36">
        <v>11</v>
      </c>
      <c r="F396" s="19">
        <v>3226</v>
      </c>
      <c r="G396" s="19">
        <f>13474+0.4</f>
        <v>13474.4</v>
      </c>
      <c r="H396" s="19">
        <f>584303+0.4</f>
        <v>584303.4</v>
      </c>
      <c r="I396" s="19">
        <f>720296+0.4</f>
        <v>720296.4</v>
      </c>
      <c r="J396" s="19">
        <f>87363+0.4</f>
        <v>87363.4</v>
      </c>
    </row>
    <row r="397" spans="2:10" x14ac:dyDescent="0.2">
      <c r="C397" s="1" t="s">
        <v>80</v>
      </c>
      <c r="E397" s="36">
        <v>12</v>
      </c>
      <c r="F397" s="19">
        <v>3206</v>
      </c>
      <c r="G397" s="19">
        <v>15203</v>
      </c>
      <c r="H397" s="19">
        <v>918890</v>
      </c>
      <c r="I397" s="19">
        <v>1067670</v>
      </c>
      <c r="J397" s="19">
        <v>100314</v>
      </c>
    </row>
    <row r="398" spans="2:10" x14ac:dyDescent="0.2">
      <c r="C398" s="1" t="s">
        <v>81</v>
      </c>
      <c r="E398" s="36">
        <v>8</v>
      </c>
      <c r="F398" s="19">
        <v>3100</v>
      </c>
      <c r="G398" s="19">
        <v>15190</v>
      </c>
      <c r="H398" s="19">
        <v>923472</v>
      </c>
      <c r="I398" s="19">
        <v>1076520</v>
      </c>
      <c r="J398" s="19">
        <v>96624</v>
      </c>
    </row>
    <row r="399" spans="2:10" x14ac:dyDescent="0.2">
      <c r="C399" s="1" t="s">
        <v>82</v>
      </c>
      <c r="E399" s="36">
        <v>7</v>
      </c>
      <c r="F399" s="19">
        <v>2920</v>
      </c>
      <c r="G399" s="19">
        <v>16180</v>
      </c>
      <c r="H399" s="19">
        <v>904938</v>
      </c>
      <c r="I399" s="19">
        <v>1047986</v>
      </c>
      <c r="J399" s="19">
        <v>85145</v>
      </c>
    </row>
    <row r="400" spans="2:10" x14ac:dyDescent="0.2">
      <c r="E400" s="9"/>
    </row>
    <row r="401" spans="3:10" x14ac:dyDescent="0.2">
      <c r="C401" s="1" t="s">
        <v>83</v>
      </c>
      <c r="E401" s="36">
        <v>9</v>
      </c>
      <c r="F401" s="19">
        <v>2654</v>
      </c>
      <c r="G401" s="19">
        <v>13753</v>
      </c>
      <c r="H401" s="19">
        <v>764260</v>
      </c>
      <c r="I401" s="19">
        <v>847995</v>
      </c>
      <c r="J401" s="19">
        <v>33913</v>
      </c>
    </row>
    <row r="402" spans="3:10" x14ac:dyDescent="0.2">
      <c r="C402" s="1" t="s">
        <v>84</v>
      </c>
      <c r="E402" s="36">
        <v>9</v>
      </c>
      <c r="F402" s="19">
        <v>2452</v>
      </c>
      <c r="G402" s="19">
        <v>13256</v>
      </c>
      <c r="H402" s="19">
        <v>749493</v>
      </c>
      <c r="I402" s="19">
        <v>888908</v>
      </c>
      <c r="J402" s="19">
        <v>84232</v>
      </c>
    </row>
    <row r="403" spans="3:10" x14ac:dyDescent="0.2">
      <c r="C403" s="1" t="s">
        <v>85</v>
      </c>
      <c r="E403" s="36">
        <v>7</v>
      </c>
      <c r="F403" s="19">
        <v>2195</v>
      </c>
      <c r="G403" s="19">
        <v>12828</v>
      </c>
      <c r="H403" s="19">
        <v>635200</v>
      </c>
      <c r="I403" s="19">
        <v>770508</v>
      </c>
      <c r="J403" s="19">
        <v>67347</v>
      </c>
    </row>
    <row r="404" spans="3:10" x14ac:dyDescent="0.2">
      <c r="C404" s="1" t="s">
        <v>86</v>
      </c>
      <c r="E404" s="36">
        <v>8</v>
      </c>
      <c r="F404" s="19">
        <v>2038</v>
      </c>
      <c r="G404" s="19">
        <v>12199</v>
      </c>
      <c r="H404" s="19">
        <v>297494</v>
      </c>
      <c r="I404" s="19">
        <v>480538</v>
      </c>
      <c r="J404" s="19">
        <v>89367</v>
      </c>
    </row>
    <row r="405" spans="3:10" x14ac:dyDescent="0.2">
      <c r="C405" s="1" t="s">
        <v>87</v>
      </c>
      <c r="E405" s="36">
        <v>7</v>
      </c>
      <c r="F405" s="19">
        <v>1146</v>
      </c>
      <c r="G405" s="19">
        <v>8361</v>
      </c>
      <c r="H405" s="19">
        <v>260288</v>
      </c>
      <c r="I405" s="19">
        <v>394777</v>
      </c>
      <c r="J405" s="19">
        <v>42222</v>
      </c>
    </row>
    <row r="406" spans="3:10" x14ac:dyDescent="0.2">
      <c r="E406" s="9"/>
    </row>
    <row r="407" spans="3:10" x14ac:dyDescent="0.2">
      <c r="C407" s="1" t="s">
        <v>88</v>
      </c>
      <c r="E407" s="36">
        <v>9</v>
      </c>
      <c r="F407" s="19">
        <v>1279</v>
      </c>
      <c r="G407" s="19">
        <v>9498</v>
      </c>
      <c r="H407" s="19">
        <v>204200</v>
      </c>
      <c r="I407" s="19">
        <v>364501</v>
      </c>
      <c r="J407" s="19">
        <v>56023</v>
      </c>
    </row>
    <row r="408" spans="3:10" x14ac:dyDescent="0.2">
      <c r="C408" s="1" t="s">
        <v>89</v>
      </c>
      <c r="E408" s="36">
        <v>10</v>
      </c>
      <c r="F408" s="19">
        <v>1204</v>
      </c>
      <c r="G408" s="19">
        <v>9160</v>
      </c>
      <c r="H408" s="19">
        <v>256337</v>
      </c>
      <c r="I408" s="19">
        <v>399372</v>
      </c>
      <c r="J408" s="19">
        <v>32936</v>
      </c>
    </row>
    <row r="409" spans="3:10" x14ac:dyDescent="0.2">
      <c r="C409" s="1" t="s">
        <v>90</v>
      </c>
      <c r="E409" s="36">
        <v>11</v>
      </c>
      <c r="F409" s="19">
        <v>1181</v>
      </c>
      <c r="G409" s="19">
        <v>9249</v>
      </c>
      <c r="H409" s="19">
        <v>326635</v>
      </c>
      <c r="I409" s="19">
        <v>447133</v>
      </c>
      <c r="J409" s="19">
        <v>12901</v>
      </c>
    </row>
    <row r="410" spans="3:10" x14ac:dyDescent="0.2">
      <c r="C410" s="1" t="s">
        <v>91</v>
      </c>
      <c r="E410" s="36">
        <v>12</v>
      </c>
      <c r="F410" s="19">
        <v>1164</v>
      </c>
      <c r="G410" s="19">
        <v>8966</v>
      </c>
      <c r="H410" s="19">
        <v>296064</v>
      </c>
      <c r="I410" s="19">
        <v>432262</v>
      </c>
      <c r="J410" s="19">
        <v>21278</v>
      </c>
    </row>
    <row r="411" spans="3:10" x14ac:dyDescent="0.2">
      <c r="C411" s="1" t="s">
        <v>92</v>
      </c>
      <c r="E411" s="36">
        <v>11</v>
      </c>
      <c r="F411" s="19">
        <v>1184</v>
      </c>
      <c r="G411" s="19">
        <v>9366</v>
      </c>
      <c r="H411" s="19">
        <v>221203</v>
      </c>
      <c r="I411" s="19">
        <f>364065-0.4</f>
        <v>364064.6</v>
      </c>
      <c r="J411" s="19">
        <v>22639</v>
      </c>
    </row>
    <row r="412" spans="3:10" x14ac:dyDescent="0.2">
      <c r="E412" s="9"/>
    </row>
    <row r="413" spans="3:10" x14ac:dyDescent="0.2">
      <c r="C413" s="1" t="s">
        <v>93</v>
      </c>
      <c r="E413" s="36">
        <v>11</v>
      </c>
      <c r="F413" s="19">
        <v>1221</v>
      </c>
      <c r="G413" s="19">
        <v>9326</v>
      </c>
      <c r="H413" s="19">
        <v>189912</v>
      </c>
      <c r="I413" s="19">
        <v>339945</v>
      </c>
      <c r="J413" s="19">
        <f>51724+0.3</f>
        <v>51724.3</v>
      </c>
    </row>
    <row r="414" spans="3:10" x14ac:dyDescent="0.2">
      <c r="C414" s="1" t="s">
        <v>94</v>
      </c>
      <c r="E414" s="36">
        <v>10</v>
      </c>
      <c r="F414" s="19">
        <v>1229</v>
      </c>
      <c r="G414" s="19">
        <v>9860</v>
      </c>
      <c r="H414" s="19">
        <v>196906</v>
      </c>
      <c r="I414" s="19">
        <v>321757</v>
      </c>
      <c r="J414" s="19">
        <v>26691</v>
      </c>
    </row>
    <row r="415" spans="3:10" x14ac:dyDescent="0.2">
      <c r="C415" s="1" t="s">
        <v>95</v>
      </c>
      <c r="E415" s="36">
        <v>10</v>
      </c>
      <c r="F415" s="19">
        <v>1195</v>
      </c>
      <c r="G415" s="19">
        <v>9925</v>
      </c>
      <c r="H415" s="19">
        <v>190270</v>
      </c>
      <c r="I415" s="19">
        <v>313367</v>
      </c>
      <c r="J415" s="19">
        <v>30683</v>
      </c>
    </row>
    <row r="416" spans="3:10" x14ac:dyDescent="0.2">
      <c r="C416" s="1" t="s">
        <v>96</v>
      </c>
      <c r="E416" s="36">
        <v>10</v>
      </c>
      <c r="F416" s="19">
        <v>1186</v>
      </c>
      <c r="G416" s="19">
        <v>9854</v>
      </c>
      <c r="H416" s="19">
        <v>250642</v>
      </c>
      <c r="I416" s="19">
        <v>388388</v>
      </c>
      <c r="J416" s="19">
        <v>19856</v>
      </c>
    </row>
    <row r="417" spans="1:10" x14ac:dyDescent="0.2">
      <c r="B417" s="34"/>
      <c r="C417" s="4" t="s">
        <v>363</v>
      </c>
      <c r="D417" s="34"/>
      <c r="E417" s="50">
        <v>8</v>
      </c>
      <c r="F417" s="51">
        <v>1009</v>
      </c>
      <c r="G417" s="51">
        <v>9201</v>
      </c>
      <c r="H417" s="51">
        <v>239880</v>
      </c>
      <c r="I417" s="51">
        <v>380271</v>
      </c>
      <c r="J417" s="51">
        <v>11366</v>
      </c>
    </row>
    <row r="418" spans="1:10" ht="18" thickBot="1" x14ac:dyDescent="0.25">
      <c r="B418" s="5"/>
      <c r="C418" s="5"/>
      <c r="D418" s="5"/>
      <c r="E418" s="38"/>
      <c r="F418" s="5"/>
      <c r="G418" s="5"/>
      <c r="H418" s="5"/>
      <c r="I418" s="5"/>
      <c r="J418" s="5"/>
    </row>
    <row r="419" spans="1:10" x14ac:dyDescent="0.2">
      <c r="E419" s="1" t="s">
        <v>70</v>
      </c>
      <c r="H419" s="1" t="s">
        <v>98</v>
      </c>
    </row>
    <row r="420" spans="1:10" x14ac:dyDescent="0.2">
      <c r="H420" s="1" t="s">
        <v>105</v>
      </c>
    </row>
    <row r="422" spans="1:10" x14ac:dyDescent="0.2">
      <c r="A422" s="1"/>
    </row>
    <row r="423" spans="1:10" x14ac:dyDescent="0.2">
      <c r="A423" s="1"/>
    </row>
    <row r="428" spans="1:10" x14ac:dyDescent="0.2">
      <c r="F428" s="4" t="s">
        <v>100</v>
      </c>
    </row>
    <row r="429" spans="1:10" x14ac:dyDescent="0.2">
      <c r="F429" s="1" t="s">
        <v>101</v>
      </c>
    </row>
    <row r="430" spans="1:10" ht="18" thickBot="1" x14ac:dyDescent="0.25">
      <c r="B430" s="5"/>
      <c r="C430" s="5"/>
      <c r="D430" s="5"/>
      <c r="E430" s="5"/>
      <c r="F430" s="35" t="s">
        <v>102</v>
      </c>
      <c r="G430" s="5"/>
      <c r="H430" s="5"/>
      <c r="I430" s="5"/>
      <c r="J430" s="5"/>
    </row>
    <row r="431" spans="1:10" x14ac:dyDescent="0.2">
      <c r="E431" s="9"/>
      <c r="F431" s="3"/>
      <c r="G431" s="20" t="s">
        <v>76</v>
      </c>
      <c r="H431" s="3"/>
      <c r="I431" s="3"/>
      <c r="J431" s="3"/>
    </row>
    <row r="432" spans="1:10" x14ac:dyDescent="0.2">
      <c r="E432" s="6"/>
      <c r="F432" s="7"/>
      <c r="G432" s="8" t="s">
        <v>115</v>
      </c>
      <c r="H432" s="7"/>
      <c r="I432" s="7"/>
      <c r="J432" s="7"/>
    </row>
    <row r="433" spans="2:10" x14ac:dyDescent="0.2">
      <c r="E433" s="9"/>
      <c r="F433" s="9"/>
      <c r="G433" s="9"/>
      <c r="H433" s="10" t="s">
        <v>50</v>
      </c>
      <c r="I433" s="10" t="s">
        <v>51</v>
      </c>
      <c r="J433" s="10" t="s">
        <v>116</v>
      </c>
    </row>
    <row r="434" spans="2:10" x14ac:dyDescent="0.2">
      <c r="B434" s="7"/>
      <c r="C434" s="7"/>
      <c r="D434" s="7"/>
      <c r="E434" s="12" t="s">
        <v>53</v>
      </c>
      <c r="F434" s="12" t="s">
        <v>54</v>
      </c>
      <c r="G434" s="12" t="s">
        <v>55</v>
      </c>
      <c r="H434" s="13" t="s">
        <v>56</v>
      </c>
      <c r="I434" s="13" t="s">
        <v>57</v>
      </c>
      <c r="J434" s="13" t="s">
        <v>58</v>
      </c>
    </row>
    <row r="435" spans="2:10" x14ac:dyDescent="0.2">
      <c r="E435" s="9"/>
      <c r="F435" s="15" t="s">
        <v>17</v>
      </c>
      <c r="G435" s="15" t="s">
        <v>77</v>
      </c>
      <c r="H435" s="15" t="s">
        <v>77</v>
      </c>
      <c r="I435" s="15" t="s">
        <v>77</v>
      </c>
      <c r="J435" s="15" t="s">
        <v>77</v>
      </c>
    </row>
    <row r="436" spans="2:10" x14ac:dyDescent="0.2">
      <c r="C436" s="1" t="s">
        <v>117</v>
      </c>
      <c r="E436" s="52" t="s">
        <v>366</v>
      </c>
      <c r="F436" s="53" t="s">
        <v>366</v>
      </c>
      <c r="G436" s="53" t="s">
        <v>366</v>
      </c>
      <c r="H436" s="53" t="s">
        <v>366</v>
      </c>
      <c r="I436" s="53" t="s">
        <v>366</v>
      </c>
      <c r="J436" s="53" t="s">
        <v>366</v>
      </c>
    </row>
    <row r="437" spans="2:10" x14ac:dyDescent="0.2">
      <c r="C437" s="1" t="s">
        <v>118</v>
      </c>
      <c r="E437" s="52" t="s">
        <v>366</v>
      </c>
      <c r="F437" s="53" t="s">
        <v>366</v>
      </c>
      <c r="G437" s="53" t="s">
        <v>366</v>
      </c>
      <c r="H437" s="53" t="s">
        <v>366</v>
      </c>
      <c r="I437" s="53" t="s">
        <v>366</v>
      </c>
      <c r="J437" s="53" t="s">
        <v>366</v>
      </c>
    </row>
    <row r="438" spans="2:10" x14ac:dyDescent="0.2">
      <c r="C438" s="1" t="s">
        <v>119</v>
      </c>
      <c r="E438" s="52" t="s">
        <v>366</v>
      </c>
      <c r="F438" s="53" t="s">
        <v>366</v>
      </c>
      <c r="G438" s="53" t="s">
        <v>366</v>
      </c>
      <c r="H438" s="53" t="s">
        <v>366</v>
      </c>
      <c r="I438" s="53" t="s">
        <v>366</v>
      </c>
      <c r="J438" s="53" t="s">
        <v>366</v>
      </c>
    </row>
    <row r="439" spans="2:10" x14ac:dyDescent="0.2">
      <c r="C439" s="1" t="s">
        <v>81</v>
      </c>
      <c r="E439" s="52" t="s">
        <v>366</v>
      </c>
      <c r="F439" s="53" t="s">
        <v>366</v>
      </c>
      <c r="G439" s="53" t="s">
        <v>366</v>
      </c>
      <c r="H439" s="53" t="s">
        <v>366</v>
      </c>
      <c r="I439" s="53" t="s">
        <v>366</v>
      </c>
      <c r="J439" s="53" t="s">
        <v>366</v>
      </c>
    </row>
    <row r="440" spans="2:10" x14ac:dyDescent="0.2">
      <c r="C440" s="1" t="s">
        <v>82</v>
      </c>
      <c r="E440" s="52" t="s">
        <v>366</v>
      </c>
      <c r="F440" s="53" t="s">
        <v>366</v>
      </c>
      <c r="G440" s="53" t="s">
        <v>366</v>
      </c>
      <c r="H440" s="53" t="s">
        <v>366</v>
      </c>
      <c r="I440" s="53" t="s">
        <v>366</v>
      </c>
      <c r="J440" s="53" t="s">
        <v>366</v>
      </c>
    </row>
    <row r="441" spans="2:10" x14ac:dyDescent="0.2">
      <c r="E441" s="9"/>
    </row>
    <row r="442" spans="2:10" x14ac:dyDescent="0.2">
      <c r="C442" s="1" t="s">
        <v>83</v>
      </c>
      <c r="E442" s="52" t="s">
        <v>366</v>
      </c>
      <c r="F442" s="53" t="s">
        <v>366</v>
      </c>
      <c r="G442" s="53" t="s">
        <v>366</v>
      </c>
      <c r="H442" s="53" t="s">
        <v>366</v>
      </c>
      <c r="I442" s="53" t="s">
        <v>366</v>
      </c>
      <c r="J442" s="53" t="s">
        <v>366</v>
      </c>
    </row>
    <row r="443" spans="2:10" x14ac:dyDescent="0.2">
      <c r="C443" s="1" t="s">
        <v>84</v>
      </c>
      <c r="E443" s="52" t="s">
        <v>366</v>
      </c>
      <c r="F443" s="53" t="s">
        <v>366</v>
      </c>
      <c r="G443" s="53" t="s">
        <v>366</v>
      </c>
      <c r="H443" s="53" t="s">
        <v>366</v>
      </c>
      <c r="I443" s="53" t="s">
        <v>366</v>
      </c>
      <c r="J443" s="53" t="s">
        <v>366</v>
      </c>
    </row>
    <row r="444" spans="2:10" x14ac:dyDescent="0.2">
      <c r="C444" s="1" t="s">
        <v>85</v>
      </c>
      <c r="E444" s="36">
        <v>139</v>
      </c>
      <c r="F444" s="19">
        <v>2040</v>
      </c>
      <c r="G444" s="19">
        <v>4473</v>
      </c>
      <c r="H444" s="19">
        <v>19597</v>
      </c>
      <c r="I444" s="19">
        <v>31619</v>
      </c>
      <c r="J444" s="19">
        <v>11874</v>
      </c>
    </row>
    <row r="445" spans="2:10" x14ac:dyDescent="0.2">
      <c r="C445" s="1" t="s">
        <v>86</v>
      </c>
      <c r="E445" s="36">
        <v>147</v>
      </c>
      <c r="F445" s="19">
        <v>2156</v>
      </c>
      <c r="G445" s="19">
        <v>4740</v>
      </c>
      <c r="H445" s="19">
        <v>21506</v>
      </c>
      <c r="I445" s="19">
        <v>33853</v>
      </c>
      <c r="J445" s="19">
        <v>11951</v>
      </c>
    </row>
    <row r="446" spans="2:10" x14ac:dyDescent="0.2">
      <c r="C446" s="1" t="s">
        <v>87</v>
      </c>
      <c r="E446" s="36">
        <v>143</v>
      </c>
      <c r="F446" s="19">
        <v>2190</v>
      </c>
      <c r="G446" s="19">
        <v>5590</v>
      </c>
      <c r="H446" s="19">
        <v>21452</v>
      </c>
      <c r="I446" s="19">
        <v>35584</v>
      </c>
      <c r="J446" s="19">
        <v>13492</v>
      </c>
    </row>
    <row r="447" spans="2:10" x14ac:dyDescent="0.2">
      <c r="E447" s="9"/>
    </row>
    <row r="448" spans="2:10" x14ac:dyDescent="0.2">
      <c r="C448" s="1" t="s">
        <v>88</v>
      </c>
      <c r="E448" s="36">
        <v>148</v>
      </c>
      <c r="F448" s="19">
        <v>2347</v>
      </c>
      <c r="G448" s="19">
        <v>5862</v>
      </c>
      <c r="H448" s="19">
        <v>24116</v>
      </c>
      <c r="I448" s="19">
        <v>38568</v>
      </c>
      <c r="J448" s="19">
        <v>13937</v>
      </c>
    </row>
    <row r="449" spans="2:10" x14ac:dyDescent="0.2">
      <c r="C449" s="1" t="s">
        <v>89</v>
      </c>
      <c r="E449" s="36">
        <v>142</v>
      </c>
      <c r="F449" s="19">
        <v>2298</v>
      </c>
      <c r="G449" s="19">
        <v>5884</v>
      </c>
      <c r="H449" s="19">
        <v>23955</v>
      </c>
      <c r="I449" s="19">
        <v>39822</v>
      </c>
      <c r="J449" s="19">
        <v>14995</v>
      </c>
    </row>
    <row r="450" spans="2:10" x14ac:dyDescent="0.2">
      <c r="C450" s="1" t="s">
        <v>90</v>
      </c>
      <c r="E450" s="36">
        <v>157</v>
      </c>
      <c r="F450" s="19">
        <v>2636</v>
      </c>
      <c r="G450" s="19">
        <v>6882</v>
      </c>
      <c r="H450" s="19">
        <v>27398</v>
      </c>
      <c r="I450" s="19">
        <v>45560</v>
      </c>
      <c r="J450" s="19">
        <v>17282</v>
      </c>
    </row>
    <row r="451" spans="2:10" x14ac:dyDescent="0.2">
      <c r="C451" s="1" t="s">
        <v>91</v>
      </c>
      <c r="E451" s="36">
        <v>147</v>
      </c>
      <c r="F451" s="19">
        <v>2597</v>
      </c>
      <c r="G451" s="19">
        <v>7755</v>
      </c>
      <c r="H451" s="19">
        <v>28246</v>
      </c>
      <c r="I451" s="19">
        <v>48468</v>
      </c>
      <c r="J451" s="19">
        <v>19134</v>
      </c>
    </row>
    <row r="452" spans="2:10" x14ac:dyDescent="0.2">
      <c r="C452" s="1" t="s">
        <v>92</v>
      </c>
      <c r="E452" s="36">
        <v>142</v>
      </c>
      <c r="F452" s="19">
        <v>2557</v>
      </c>
      <c r="G452" s="19">
        <v>7761</v>
      </c>
      <c r="H452" s="19">
        <v>27609</v>
      </c>
      <c r="I452" s="19">
        <v>47465</v>
      </c>
      <c r="J452" s="19">
        <v>18736</v>
      </c>
    </row>
    <row r="453" spans="2:10" x14ac:dyDescent="0.2">
      <c r="E453" s="9"/>
    </row>
    <row r="454" spans="2:10" x14ac:dyDescent="0.2">
      <c r="C454" s="1" t="s">
        <v>93</v>
      </c>
      <c r="E454" s="36">
        <v>146</v>
      </c>
      <c r="F454" s="19">
        <v>2635</v>
      </c>
      <c r="G454" s="19">
        <v>8426</v>
      </c>
      <c r="H454" s="19">
        <v>28306</v>
      </c>
      <c r="I454" s="19">
        <v>49806</v>
      </c>
      <c r="J454" s="19">
        <v>20131</v>
      </c>
    </row>
    <row r="455" spans="2:10" x14ac:dyDescent="0.2">
      <c r="C455" s="1" t="s">
        <v>94</v>
      </c>
      <c r="E455" s="36">
        <v>135</v>
      </c>
      <c r="F455" s="19">
        <v>2571</v>
      </c>
      <c r="G455" s="19">
        <v>8538</v>
      </c>
      <c r="H455" s="19">
        <v>27260</v>
      </c>
      <c r="I455" s="19">
        <v>47641</v>
      </c>
      <c r="J455" s="19">
        <v>18589</v>
      </c>
    </row>
    <row r="456" spans="2:10" x14ac:dyDescent="0.2">
      <c r="C456" s="1" t="s">
        <v>95</v>
      </c>
      <c r="E456" s="36">
        <v>132</v>
      </c>
      <c r="F456" s="19">
        <v>2484</v>
      </c>
      <c r="G456" s="19">
        <v>8316</v>
      </c>
      <c r="H456" s="19">
        <v>26139</v>
      </c>
      <c r="I456" s="19">
        <v>47042</v>
      </c>
      <c r="J456" s="19">
        <v>19051</v>
      </c>
    </row>
    <row r="457" spans="2:10" x14ac:dyDescent="0.2">
      <c r="C457" s="1" t="s">
        <v>96</v>
      </c>
      <c r="E457" s="36">
        <v>123</v>
      </c>
      <c r="F457" s="19">
        <v>2486</v>
      </c>
      <c r="G457" s="19">
        <v>8523</v>
      </c>
      <c r="H457" s="19">
        <v>27245</v>
      </c>
      <c r="I457" s="19">
        <v>49843</v>
      </c>
      <c r="J457" s="19">
        <v>20898</v>
      </c>
    </row>
    <row r="458" spans="2:10" x14ac:dyDescent="0.2">
      <c r="B458" s="34"/>
      <c r="C458" s="4" t="s">
        <v>363</v>
      </c>
      <c r="D458" s="34"/>
      <c r="E458" s="50">
        <v>111</v>
      </c>
      <c r="F458" s="51">
        <v>2407</v>
      </c>
      <c r="G458" s="51">
        <v>8424</v>
      </c>
      <c r="H458" s="51">
        <v>25842</v>
      </c>
      <c r="I458" s="51">
        <v>48177</v>
      </c>
      <c r="J458" s="51">
        <v>20319</v>
      </c>
    </row>
    <row r="459" spans="2:10" ht="18" thickBot="1" x14ac:dyDescent="0.25">
      <c r="B459" s="5"/>
      <c r="C459" s="5"/>
      <c r="D459" s="5"/>
      <c r="E459" s="38"/>
      <c r="F459" s="5"/>
      <c r="G459" s="5"/>
      <c r="H459" s="5"/>
      <c r="I459" s="5"/>
      <c r="J459" s="5"/>
    </row>
    <row r="460" spans="2:10" x14ac:dyDescent="0.2">
      <c r="E460" s="9"/>
      <c r="F460" s="3"/>
      <c r="G460" s="3"/>
      <c r="H460" s="3"/>
      <c r="I460" s="3"/>
      <c r="J460" s="3"/>
    </row>
    <row r="461" spans="2:10" x14ac:dyDescent="0.2">
      <c r="E461" s="6"/>
      <c r="F461" s="7"/>
      <c r="G461" s="8" t="s">
        <v>120</v>
      </c>
      <c r="H461" s="7"/>
      <c r="I461" s="7"/>
      <c r="J461" s="7"/>
    </row>
    <row r="462" spans="2:10" x14ac:dyDescent="0.2">
      <c r="E462" s="9"/>
      <c r="F462" s="9"/>
      <c r="G462" s="9"/>
      <c r="H462" s="10" t="s">
        <v>50</v>
      </c>
      <c r="I462" s="10" t="s">
        <v>51</v>
      </c>
      <c r="J462" s="10" t="s">
        <v>116</v>
      </c>
    </row>
    <row r="463" spans="2:10" x14ac:dyDescent="0.2">
      <c r="B463" s="7"/>
      <c r="C463" s="7"/>
      <c r="D463" s="7"/>
      <c r="E463" s="12" t="s">
        <v>53</v>
      </c>
      <c r="F463" s="12" t="s">
        <v>54</v>
      </c>
      <c r="G463" s="12" t="s">
        <v>55</v>
      </c>
      <c r="H463" s="13" t="s">
        <v>56</v>
      </c>
      <c r="I463" s="13" t="s">
        <v>57</v>
      </c>
      <c r="J463" s="13" t="s">
        <v>58</v>
      </c>
    </row>
    <row r="464" spans="2:10" x14ac:dyDescent="0.2">
      <c r="E464" s="9"/>
      <c r="F464" s="15" t="s">
        <v>17</v>
      </c>
      <c r="G464" s="15" t="s">
        <v>77</v>
      </c>
      <c r="H464" s="15" t="s">
        <v>77</v>
      </c>
      <c r="I464" s="15" t="s">
        <v>77</v>
      </c>
      <c r="J464" s="15" t="s">
        <v>77</v>
      </c>
    </row>
    <row r="465" spans="3:10" x14ac:dyDescent="0.2">
      <c r="C465" s="1" t="s">
        <v>117</v>
      </c>
      <c r="E465" s="36">
        <v>13</v>
      </c>
      <c r="F465" s="19">
        <v>190</v>
      </c>
      <c r="G465" s="19">
        <f>281+0.4</f>
        <v>281.39999999999998</v>
      </c>
      <c r="H465" s="19">
        <f>231+0.4</f>
        <v>231.4</v>
      </c>
      <c r="I465" s="19">
        <f>778+0.4</f>
        <v>778.4</v>
      </c>
      <c r="J465" s="19">
        <f>521+0.4</f>
        <v>521.4</v>
      </c>
    </row>
    <row r="466" spans="3:10" x14ac:dyDescent="0.2">
      <c r="C466" s="1" t="s">
        <v>118</v>
      </c>
      <c r="E466" s="36">
        <v>11</v>
      </c>
      <c r="F466" s="19">
        <v>191</v>
      </c>
      <c r="G466" s="19">
        <f>318+0.4</f>
        <v>318.39999999999998</v>
      </c>
      <c r="H466" s="19">
        <f>273+0.4</f>
        <v>273.39999999999998</v>
      </c>
      <c r="I466" s="19">
        <f>901+0.4</f>
        <v>901.4</v>
      </c>
      <c r="J466" s="19">
        <f>623+0.4</f>
        <v>623.4</v>
      </c>
    </row>
    <row r="467" spans="3:10" x14ac:dyDescent="0.2">
      <c r="C467" s="1" t="s">
        <v>119</v>
      </c>
      <c r="E467" s="36">
        <v>10</v>
      </c>
      <c r="F467" s="19">
        <v>176</v>
      </c>
      <c r="G467" s="19">
        <v>314</v>
      </c>
      <c r="H467" s="19">
        <v>254</v>
      </c>
      <c r="I467" s="19">
        <v>936</v>
      </c>
      <c r="J467" s="19">
        <v>675</v>
      </c>
    </row>
    <row r="468" spans="3:10" x14ac:dyDescent="0.2">
      <c r="C468" s="1" t="s">
        <v>81</v>
      </c>
      <c r="E468" s="36">
        <v>14</v>
      </c>
      <c r="F468" s="19">
        <v>213</v>
      </c>
      <c r="G468" s="19">
        <v>406</v>
      </c>
      <c r="H468" s="19">
        <v>326</v>
      </c>
      <c r="I468" s="19">
        <v>1095</v>
      </c>
      <c r="J468" s="19">
        <v>759</v>
      </c>
    </row>
    <row r="469" spans="3:10" x14ac:dyDescent="0.2">
      <c r="C469" s="1" t="s">
        <v>82</v>
      </c>
      <c r="E469" s="36">
        <v>11</v>
      </c>
      <c r="F469" s="19">
        <v>187</v>
      </c>
      <c r="G469" s="19">
        <v>363.1</v>
      </c>
      <c r="H469" s="19">
        <v>305</v>
      </c>
      <c r="I469" s="19">
        <v>916</v>
      </c>
      <c r="J469" s="19">
        <v>604</v>
      </c>
    </row>
    <row r="470" spans="3:10" x14ac:dyDescent="0.2">
      <c r="E470" s="9"/>
    </row>
    <row r="471" spans="3:10" x14ac:dyDescent="0.2">
      <c r="C471" s="1" t="s">
        <v>83</v>
      </c>
      <c r="E471" s="36">
        <v>14</v>
      </c>
      <c r="F471" s="19">
        <v>215</v>
      </c>
      <c r="G471" s="19">
        <v>402</v>
      </c>
      <c r="H471" s="19">
        <v>476</v>
      </c>
      <c r="I471" s="19">
        <v>1228</v>
      </c>
      <c r="J471" s="19">
        <v>743</v>
      </c>
    </row>
    <row r="472" spans="3:10" x14ac:dyDescent="0.2">
      <c r="C472" s="1" t="s">
        <v>84</v>
      </c>
      <c r="E472" s="36">
        <v>12</v>
      </c>
      <c r="F472" s="19">
        <v>271</v>
      </c>
      <c r="G472" s="19">
        <v>597</v>
      </c>
      <c r="H472" s="19">
        <v>510</v>
      </c>
      <c r="I472" s="19">
        <v>1796</v>
      </c>
      <c r="J472" s="19">
        <v>1232</v>
      </c>
    </row>
    <row r="473" spans="3:10" x14ac:dyDescent="0.2">
      <c r="C473" s="1" t="s">
        <v>85</v>
      </c>
      <c r="E473" s="36">
        <v>12</v>
      </c>
      <c r="F473" s="19">
        <v>289</v>
      </c>
      <c r="G473" s="19">
        <v>608</v>
      </c>
      <c r="H473" s="19">
        <v>631</v>
      </c>
      <c r="I473" s="19">
        <v>1920</v>
      </c>
      <c r="J473" s="19">
        <v>1223</v>
      </c>
    </row>
    <row r="474" spans="3:10" x14ac:dyDescent="0.2">
      <c r="C474" s="1" t="s">
        <v>86</v>
      </c>
      <c r="E474" s="36">
        <v>12</v>
      </c>
      <c r="F474" s="19">
        <v>320</v>
      </c>
      <c r="G474" s="19">
        <v>692</v>
      </c>
      <c r="H474" s="19">
        <v>668</v>
      </c>
      <c r="I474" s="19">
        <v>1763</v>
      </c>
      <c r="J474" s="19">
        <v>998</v>
      </c>
    </row>
    <row r="475" spans="3:10" x14ac:dyDescent="0.2">
      <c r="C475" s="1" t="s">
        <v>87</v>
      </c>
      <c r="E475" s="36">
        <v>12</v>
      </c>
      <c r="F475" s="19">
        <v>342</v>
      </c>
      <c r="G475" s="19">
        <v>708</v>
      </c>
      <c r="H475" s="19">
        <v>898</v>
      </c>
      <c r="I475" s="19">
        <v>2278</v>
      </c>
      <c r="J475" s="19">
        <v>1289</v>
      </c>
    </row>
    <row r="476" spans="3:10" x14ac:dyDescent="0.2">
      <c r="E476" s="9"/>
    </row>
    <row r="477" spans="3:10" x14ac:dyDescent="0.2">
      <c r="C477" s="1" t="s">
        <v>88</v>
      </c>
      <c r="E477" s="36">
        <v>16</v>
      </c>
      <c r="F477" s="19">
        <v>801</v>
      </c>
      <c r="G477" s="19">
        <v>3016</v>
      </c>
      <c r="H477" s="19">
        <v>8108</v>
      </c>
      <c r="I477" s="19">
        <v>16278</v>
      </c>
      <c r="J477" s="19">
        <v>7722</v>
      </c>
    </row>
    <row r="478" spans="3:10" x14ac:dyDescent="0.2">
      <c r="C478" s="1" t="s">
        <v>89</v>
      </c>
      <c r="E478" s="36">
        <v>15</v>
      </c>
      <c r="F478" s="19">
        <v>688</v>
      </c>
      <c r="G478" s="19">
        <v>3003</v>
      </c>
      <c r="H478" s="19">
        <v>8955</v>
      </c>
      <c r="I478" s="19">
        <v>18181</v>
      </c>
      <c r="J478" s="19">
        <v>8588</v>
      </c>
    </row>
    <row r="479" spans="3:10" x14ac:dyDescent="0.2">
      <c r="C479" s="1" t="s">
        <v>90</v>
      </c>
      <c r="E479" s="36">
        <v>19</v>
      </c>
      <c r="F479" s="19">
        <v>879</v>
      </c>
      <c r="G479" s="19">
        <v>3328</v>
      </c>
      <c r="H479" s="19">
        <v>9742</v>
      </c>
      <c r="I479" s="19">
        <v>20102</v>
      </c>
      <c r="J479" s="19">
        <v>9679</v>
      </c>
    </row>
    <row r="480" spans="3:10" x14ac:dyDescent="0.2">
      <c r="C480" s="1" t="s">
        <v>91</v>
      </c>
      <c r="E480" s="36">
        <v>19</v>
      </c>
      <c r="F480" s="19">
        <v>953</v>
      </c>
      <c r="G480" s="19">
        <v>4155</v>
      </c>
      <c r="H480" s="19">
        <v>10683</v>
      </c>
      <c r="I480" s="19">
        <v>21801</v>
      </c>
      <c r="J480" s="19">
        <v>10103</v>
      </c>
    </row>
    <row r="481" spans="1:10" x14ac:dyDescent="0.2">
      <c r="C481" s="1" t="s">
        <v>92</v>
      </c>
      <c r="E481" s="36">
        <v>19</v>
      </c>
      <c r="F481" s="19">
        <v>934</v>
      </c>
      <c r="G481" s="19">
        <v>3937</v>
      </c>
      <c r="H481" s="19">
        <v>9307</v>
      </c>
      <c r="I481" s="19">
        <v>19661</v>
      </c>
      <c r="J481" s="19">
        <v>9284</v>
      </c>
    </row>
    <row r="482" spans="1:10" x14ac:dyDescent="0.2">
      <c r="E482" s="9"/>
    </row>
    <row r="483" spans="1:10" x14ac:dyDescent="0.2">
      <c r="C483" s="1" t="s">
        <v>93</v>
      </c>
      <c r="E483" s="36">
        <v>19</v>
      </c>
      <c r="F483" s="19">
        <v>966</v>
      </c>
      <c r="G483" s="19">
        <v>4196</v>
      </c>
      <c r="H483" s="19">
        <v>8318</v>
      </c>
      <c r="I483" s="19">
        <v>19128</v>
      </c>
      <c r="J483" s="19">
        <v>9133</v>
      </c>
    </row>
    <row r="484" spans="1:10" x14ac:dyDescent="0.2">
      <c r="C484" s="1" t="s">
        <v>94</v>
      </c>
      <c r="E484" s="36">
        <v>16</v>
      </c>
      <c r="F484" s="19">
        <v>847</v>
      </c>
      <c r="G484" s="19">
        <v>3903</v>
      </c>
      <c r="H484" s="19">
        <v>7527</v>
      </c>
      <c r="I484" s="19">
        <v>17788</v>
      </c>
      <c r="J484" s="19">
        <v>9096</v>
      </c>
    </row>
    <row r="485" spans="1:10" x14ac:dyDescent="0.2">
      <c r="C485" s="1" t="s">
        <v>95</v>
      </c>
      <c r="E485" s="36">
        <v>13</v>
      </c>
      <c r="F485" s="19">
        <v>896</v>
      </c>
      <c r="G485" s="19">
        <v>4641</v>
      </c>
      <c r="H485" s="19">
        <v>7461</v>
      </c>
      <c r="I485" s="19">
        <v>19230</v>
      </c>
      <c r="J485" s="19">
        <v>10447</v>
      </c>
    </row>
    <row r="486" spans="1:10" x14ac:dyDescent="0.2">
      <c r="C486" s="1" t="s">
        <v>96</v>
      </c>
      <c r="E486" s="36">
        <v>14</v>
      </c>
      <c r="F486" s="19">
        <v>858</v>
      </c>
      <c r="G486" s="19">
        <v>4536</v>
      </c>
      <c r="H486" s="19">
        <v>7216</v>
      </c>
      <c r="I486" s="19">
        <v>17634</v>
      </c>
      <c r="J486" s="19">
        <v>9102</v>
      </c>
    </row>
    <row r="487" spans="1:10" x14ac:dyDescent="0.2">
      <c r="B487" s="34"/>
      <c r="C487" s="4" t="s">
        <v>367</v>
      </c>
      <c r="D487" s="34"/>
      <c r="E487" s="50">
        <v>16</v>
      </c>
      <c r="F487" s="51">
        <v>916</v>
      </c>
      <c r="G487" s="51">
        <v>4453</v>
      </c>
      <c r="H487" s="51">
        <v>6863</v>
      </c>
      <c r="I487" s="51">
        <v>16489</v>
      </c>
      <c r="J487" s="51">
        <v>8632</v>
      </c>
    </row>
    <row r="488" spans="1:10" ht="18" thickBot="1" x14ac:dyDescent="0.25">
      <c r="B488" s="5"/>
      <c r="C488" s="5"/>
      <c r="D488" s="5"/>
      <c r="E488" s="38"/>
      <c r="F488" s="5"/>
      <c r="G488" s="5"/>
      <c r="H488" s="5"/>
      <c r="I488" s="5"/>
      <c r="J488" s="5"/>
    </row>
    <row r="489" spans="1:10" x14ac:dyDescent="0.2">
      <c r="C489" s="1" t="s">
        <v>121</v>
      </c>
      <c r="F489" s="1" t="s">
        <v>122</v>
      </c>
    </row>
    <row r="490" spans="1:10" x14ac:dyDescent="0.2">
      <c r="F490" s="1" t="s">
        <v>123</v>
      </c>
    </row>
    <row r="491" spans="1:10" x14ac:dyDescent="0.2">
      <c r="A491" s="1"/>
    </row>
    <row r="492" spans="1:10" x14ac:dyDescent="0.2">
      <c r="A492" s="1"/>
    </row>
    <row r="497" spans="2:10" x14ac:dyDescent="0.2">
      <c r="F497" s="4" t="s">
        <v>100</v>
      </c>
    </row>
    <row r="498" spans="2:10" x14ac:dyDescent="0.2">
      <c r="F498" s="1" t="s">
        <v>101</v>
      </c>
    </row>
    <row r="499" spans="2:10" ht="18" thickBot="1" x14ac:dyDescent="0.25">
      <c r="B499" s="5"/>
      <c r="C499" s="5"/>
      <c r="D499" s="5"/>
      <c r="E499" s="5"/>
      <c r="F499" s="35" t="s">
        <v>102</v>
      </c>
      <c r="G499" s="5"/>
      <c r="H499" s="5"/>
      <c r="I499" s="5"/>
      <c r="J499" s="5"/>
    </row>
    <row r="500" spans="2:10" x14ac:dyDescent="0.2">
      <c r="E500" s="9"/>
      <c r="F500" s="3"/>
      <c r="G500" s="3"/>
      <c r="H500" s="3"/>
      <c r="I500" s="3"/>
      <c r="J500" s="3"/>
    </row>
    <row r="501" spans="2:10" x14ac:dyDescent="0.2">
      <c r="E501" s="6"/>
      <c r="F501" s="7"/>
      <c r="G501" s="8" t="s">
        <v>124</v>
      </c>
      <c r="H501" s="7"/>
      <c r="I501" s="7"/>
      <c r="J501" s="7"/>
    </row>
    <row r="502" spans="2:10" x14ac:dyDescent="0.2">
      <c r="E502" s="9"/>
      <c r="F502" s="9"/>
      <c r="G502" s="9"/>
      <c r="H502" s="10" t="s">
        <v>50</v>
      </c>
      <c r="I502" s="10" t="s">
        <v>51</v>
      </c>
      <c r="J502" s="10" t="s">
        <v>76</v>
      </c>
    </row>
    <row r="503" spans="2:10" x14ac:dyDescent="0.2">
      <c r="B503" s="7"/>
      <c r="C503" s="7"/>
      <c r="D503" s="7"/>
      <c r="E503" s="12" t="s">
        <v>53</v>
      </c>
      <c r="F503" s="12" t="s">
        <v>54</v>
      </c>
      <c r="G503" s="12" t="s">
        <v>55</v>
      </c>
      <c r="H503" s="13" t="s">
        <v>56</v>
      </c>
      <c r="I503" s="13" t="s">
        <v>57</v>
      </c>
      <c r="J503" s="13" t="s">
        <v>58</v>
      </c>
    </row>
    <row r="504" spans="2:10" x14ac:dyDescent="0.2">
      <c r="E504" s="9"/>
      <c r="F504" s="15" t="s">
        <v>17</v>
      </c>
      <c r="G504" s="15" t="s">
        <v>77</v>
      </c>
      <c r="H504" s="15" t="s">
        <v>77</v>
      </c>
      <c r="I504" s="15" t="s">
        <v>77</v>
      </c>
      <c r="J504" s="15" t="s">
        <v>77</v>
      </c>
    </row>
    <row r="505" spans="2:10" x14ac:dyDescent="0.2">
      <c r="C505" s="1" t="s">
        <v>78</v>
      </c>
      <c r="E505" s="36">
        <v>81</v>
      </c>
      <c r="F505" s="19">
        <v>1015</v>
      </c>
      <c r="G505" s="19">
        <f>1846+0.4</f>
        <v>1846.4</v>
      </c>
      <c r="H505" s="19">
        <f>7696+0.4</f>
        <v>7696.4</v>
      </c>
      <c r="I505" s="19">
        <f>11448+0.4</f>
        <v>11448.4</v>
      </c>
      <c r="J505" s="19">
        <f>3565+0.4</f>
        <v>3565.4</v>
      </c>
    </row>
    <row r="506" spans="2:10" x14ac:dyDescent="0.2">
      <c r="C506" s="1" t="s">
        <v>79</v>
      </c>
      <c r="E506" s="36">
        <v>73</v>
      </c>
      <c r="F506" s="19">
        <v>923</v>
      </c>
      <c r="G506" s="19">
        <f>1611+0.4</f>
        <v>1611.4</v>
      </c>
      <c r="H506" s="19">
        <f>9308+0.4</f>
        <v>9308.4</v>
      </c>
      <c r="I506" s="19">
        <f>12251+0.4</f>
        <v>12251.4</v>
      </c>
      <c r="J506" s="19">
        <f>3109+0.4</f>
        <v>3109.4</v>
      </c>
    </row>
    <row r="507" spans="2:10" x14ac:dyDescent="0.2">
      <c r="C507" s="1" t="s">
        <v>80</v>
      </c>
      <c r="E507" s="36">
        <v>77</v>
      </c>
      <c r="F507" s="19">
        <v>956</v>
      </c>
      <c r="G507" s="19">
        <v>1780</v>
      </c>
      <c r="H507" s="19">
        <v>9049</v>
      </c>
      <c r="I507" s="19">
        <v>12616</v>
      </c>
      <c r="J507" s="19">
        <v>3364</v>
      </c>
    </row>
    <row r="508" spans="2:10" x14ac:dyDescent="0.2">
      <c r="C508" s="1" t="s">
        <v>81</v>
      </c>
      <c r="E508" s="36">
        <v>77</v>
      </c>
      <c r="F508" s="19">
        <v>1121</v>
      </c>
      <c r="G508" s="19">
        <v>2224</v>
      </c>
      <c r="H508" s="19">
        <v>11349</v>
      </c>
      <c r="I508" s="19">
        <v>15966</v>
      </c>
      <c r="J508" s="19">
        <v>4262</v>
      </c>
    </row>
    <row r="509" spans="2:10" x14ac:dyDescent="0.2">
      <c r="C509" s="1" t="s">
        <v>82</v>
      </c>
      <c r="E509" s="36">
        <v>72</v>
      </c>
      <c r="F509" s="19">
        <v>1071</v>
      </c>
      <c r="G509" s="19">
        <v>2235</v>
      </c>
      <c r="H509" s="19">
        <v>10831</v>
      </c>
      <c r="I509" s="19">
        <v>15133</v>
      </c>
      <c r="J509" s="19">
        <v>4328</v>
      </c>
    </row>
    <row r="510" spans="2:10" x14ac:dyDescent="0.2">
      <c r="E510" s="9"/>
    </row>
    <row r="511" spans="2:10" x14ac:dyDescent="0.2">
      <c r="C511" s="1" t="s">
        <v>83</v>
      </c>
      <c r="E511" s="36">
        <v>65</v>
      </c>
      <c r="F511" s="19">
        <v>939</v>
      </c>
      <c r="G511" s="19">
        <v>2096</v>
      </c>
      <c r="H511" s="19">
        <v>10109</v>
      </c>
      <c r="I511" s="19">
        <v>13966</v>
      </c>
      <c r="J511" s="19">
        <v>3426</v>
      </c>
    </row>
    <row r="512" spans="2:10" x14ac:dyDescent="0.2">
      <c r="C512" s="1" t="s">
        <v>84</v>
      </c>
      <c r="E512" s="36">
        <v>66</v>
      </c>
      <c r="F512" s="19">
        <v>987</v>
      </c>
      <c r="G512" s="19">
        <v>2092</v>
      </c>
      <c r="H512" s="19">
        <v>9705</v>
      </c>
      <c r="I512" s="19">
        <v>13545</v>
      </c>
      <c r="J512" s="19">
        <v>3915</v>
      </c>
    </row>
    <row r="513" spans="2:10" x14ac:dyDescent="0.2">
      <c r="C513" s="1" t="s">
        <v>85</v>
      </c>
      <c r="E513" s="36">
        <v>58</v>
      </c>
      <c r="F513" s="19">
        <v>969</v>
      </c>
      <c r="G513" s="19">
        <v>2178</v>
      </c>
      <c r="H513" s="19">
        <v>10764</v>
      </c>
      <c r="I513" s="19">
        <v>14958</v>
      </c>
      <c r="J513" s="19">
        <v>3822</v>
      </c>
    </row>
    <row r="514" spans="2:10" x14ac:dyDescent="0.2">
      <c r="C514" s="1" t="s">
        <v>86</v>
      </c>
      <c r="E514" s="36">
        <v>48</v>
      </c>
      <c r="F514" s="19">
        <v>858</v>
      </c>
      <c r="G514" s="19">
        <v>1906</v>
      </c>
      <c r="H514" s="19">
        <v>8207</v>
      </c>
      <c r="I514" s="19">
        <v>12204</v>
      </c>
      <c r="J514" s="19">
        <v>3739</v>
      </c>
    </row>
    <row r="515" spans="2:10" x14ac:dyDescent="0.2">
      <c r="C515" s="1" t="s">
        <v>87</v>
      </c>
      <c r="E515" s="36">
        <v>46</v>
      </c>
      <c r="F515" s="19">
        <v>775</v>
      </c>
      <c r="G515" s="19">
        <v>1610</v>
      </c>
      <c r="H515" s="19">
        <v>5981</v>
      </c>
      <c r="I515" s="19">
        <v>9252</v>
      </c>
      <c r="J515" s="19">
        <v>3004</v>
      </c>
    </row>
    <row r="516" spans="2:10" x14ac:dyDescent="0.2">
      <c r="E516" s="9"/>
    </row>
    <row r="517" spans="2:10" x14ac:dyDescent="0.2">
      <c r="C517" s="1" t="s">
        <v>88</v>
      </c>
      <c r="E517" s="36">
        <v>51</v>
      </c>
      <c r="F517" s="19">
        <v>758</v>
      </c>
      <c r="G517" s="19">
        <v>1545</v>
      </c>
      <c r="H517" s="19">
        <v>7143</v>
      </c>
      <c r="I517" s="19">
        <v>10299</v>
      </c>
      <c r="J517" s="19">
        <v>3225</v>
      </c>
    </row>
    <row r="518" spans="2:10" x14ac:dyDescent="0.2">
      <c r="C518" s="1" t="s">
        <v>89</v>
      </c>
      <c r="E518" s="36">
        <v>47</v>
      </c>
      <c r="F518" s="19">
        <v>711</v>
      </c>
      <c r="G518" s="19">
        <v>1502</v>
      </c>
      <c r="H518" s="19">
        <v>6218</v>
      </c>
      <c r="I518" s="19">
        <v>9569</v>
      </c>
      <c r="J518" s="19">
        <v>3168</v>
      </c>
    </row>
    <row r="519" spans="2:10" x14ac:dyDescent="0.2">
      <c r="C519" s="1" t="s">
        <v>90</v>
      </c>
      <c r="E519" s="36">
        <v>46</v>
      </c>
      <c r="F519" s="19">
        <v>692</v>
      </c>
      <c r="G519" s="19">
        <v>1594</v>
      </c>
      <c r="H519" s="19">
        <v>7157</v>
      </c>
      <c r="I519" s="19">
        <v>10935</v>
      </c>
      <c r="J519" s="19">
        <v>3630</v>
      </c>
    </row>
    <row r="520" spans="2:10" x14ac:dyDescent="0.2">
      <c r="C520" s="1" t="s">
        <v>91</v>
      </c>
      <c r="E520" s="36">
        <v>39</v>
      </c>
      <c r="F520" s="19">
        <v>685</v>
      </c>
      <c r="G520" s="19">
        <v>1593</v>
      </c>
      <c r="H520" s="19">
        <v>6616</v>
      </c>
      <c r="I520" s="19">
        <v>10682</v>
      </c>
      <c r="J520" s="19">
        <v>3860</v>
      </c>
    </row>
    <row r="521" spans="2:10" x14ac:dyDescent="0.2">
      <c r="C521" s="1" t="s">
        <v>92</v>
      </c>
      <c r="E521" s="36">
        <v>37</v>
      </c>
      <c r="F521" s="19">
        <v>590</v>
      </c>
      <c r="G521" s="19">
        <v>1569</v>
      </c>
      <c r="H521" s="19">
        <v>5754</v>
      </c>
      <c r="I521" s="19">
        <v>8756</v>
      </c>
      <c r="J521" s="19">
        <v>2737</v>
      </c>
    </row>
    <row r="522" spans="2:10" x14ac:dyDescent="0.2">
      <c r="E522" s="9"/>
    </row>
    <row r="523" spans="2:10" x14ac:dyDescent="0.2">
      <c r="C523" s="1" t="s">
        <v>93</v>
      </c>
      <c r="E523" s="36">
        <v>37</v>
      </c>
      <c r="F523" s="19">
        <v>560</v>
      </c>
      <c r="G523" s="19">
        <v>1541</v>
      </c>
      <c r="H523" s="19">
        <v>5021</v>
      </c>
      <c r="I523" s="19">
        <v>7885</v>
      </c>
      <c r="J523" s="19">
        <v>2736</v>
      </c>
    </row>
    <row r="524" spans="2:10" x14ac:dyDescent="0.2">
      <c r="C524" s="1" t="s">
        <v>94</v>
      </c>
      <c r="E524" s="36">
        <v>33</v>
      </c>
      <c r="F524" s="19">
        <v>507</v>
      </c>
      <c r="G524" s="19">
        <v>1370</v>
      </c>
      <c r="H524" s="19">
        <v>4806</v>
      </c>
      <c r="I524" s="19">
        <v>7259</v>
      </c>
      <c r="J524" s="19">
        <v>2300</v>
      </c>
    </row>
    <row r="525" spans="2:10" x14ac:dyDescent="0.2">
      <c r="C525" s="1" t="s">
        <v>95</v>
      </c>
      <c r="E525" s="36">
        <v>34</v>
      </c>
      <c r="F525" s="19">
        <v>537</v>
      </c>
      <c r="G525" s="19">
        <v>1336</v>
      </c>
      <c r="H525" s="19">
        <v>5020</v>
      </c>
      <c r="I525" s="19">
        <v>7424</v>
      </c>
      <c r="J525" s="19">
        <v>2234</v>
      </c>
    </row>
    <row r="526" spans="2:10" x14ac:dyDescent="0.2">
      <c r="C526" s="1" t="s">
        <v>96</v>
      </c>
      <c r="E526" s="36">
        <v>36</v>
      </c>
      <c r="F526" s="19">
        <v>528</v>
      </c>
      <c r="G526" s="19">
        <v>1351</v>
      </c>
      <c r="H526" s="19">
        <v>4827</v>
      </c>
      <c r="I526" s="19">
        <v>7413</v>
      </c>
      <c r="J526" s="19">
        <v>2630</v>
      </c>
    </row>
    <row r="527" spans="2:10" x14ac:dyDescent="0.2">
      <c r="B527" s="34"/>
      <c r="C527" s="4" t="s">
        <v>130</v>
      </c>
      <c r="D527" s="34"/>
      <c r="E527" s="50">
        <v>35</v>
      </c>
      <c r="F527" s="51">
        <v>447</v>
      </c>
      <c r="G527" s="51">
        <v>1168</v>
      </c>
      <c r="H527" s="51">
        <v>4299</v>
      </c>
      <c r="I527" s="51">
        <v>6759</v>
      </c>
      <c r="J527" s="51">
        <v>2327</v>
      </c>
    </row>
    <row r="528" spans="2:10" ht="18" thickBot="1" x14ac:dyDescent="0.25">
      <c r="B528" s="5"/>
      <c r="C528" s="5"/>
      <c r="D528" s="5"/>
      <c r="E528" s="38"/>
      <c r="F528" s="5"/>
      <c r="G528" s="5"/>
      <c r="H528" s="5"/>
      <c r="I528" s="5"/>
      <c r="J528" s="5"/>
    </row>
    <row r="529" spans="2:10" x14ac:dyDescent="0.2">
      <c r="E529" s="9"/>
      <c r="F529" s="3"/>
      <c r="G529" s="3"/>
      <c r="H529" s="3"/>
      <c r="I529" s="3"/>
      <c r="J529" s="3"/>
    </row>
    <row r="530" spans="2:10" x14ac:dyDescent="0.2">
      <c r="E530" s="6"/>
      <c r="F530" s="7"/>
      <c r="G530" s="8" t="s">
        <v>125</v>
      </c>
      <c r="H530" s="7"/>
      <c r="I530" s="7"/>
      <c r="J530" s="7"/>
    </row>
    <row r="531" spans="2:10" x14ac:dyDescent="0.2">
      <c r="E531" s="9"/>
      <c r="F531" s="9"/>
      <c r="G531" s="9"/>
      <c r="H531" s="10" t="s">
        <v>50</v>
      </c>
      <c r="I531" s="10" t="s">
        <v>51</v>
      </c>
      <c r="J531" s="10" t="s">
        <v>76</v>
      </c>
    </row>
    <row r="532" spans="2:10" x14ac:dyDescent="0.2">
      <c r="B532" s="7"/>
      <c r="C532" s="7"/>
      <c r="D532" s="7"/>
      <c r="E532" s="12" t="s">
        <v>53</v>
      </c>
      <c r="F532" s="12" t="s">
        <v>54</v>
      </c>
      <c r="G532" s="12" t="s">
        <v>55</v>
      </c>
      <c r="H532" s="13" t="s">
        <v>56</v>
      </c>
      <c r="I532" s="13" t="s">
        <v>57</v>
      </c>
      <c r="J532" s="13" t="s">
        <v>58</v>
      </c>
    </row>
    <row r="533" spans="2:10" x14ac:dyDescent="0.2">
      <c r="E533" s="9"/>
      <c r="F533" s="15" t="s">
        <v>17</v>
      </c>
      <c r="G533" s="15" t="s">
        <v>77</v>
      </c>
      <c r="H533" s="15" t="s">
        <v>77</v>
      </c>
      <c r="I533" s="15" t="s">
        <v>77</v>
      </c>
      <c r="J533" s="15" t="s">
        <v>77</v>
      </c>
    </row>
    <row r="534" spans="2:10" x14ac:dyDescent="0.2">
      <c r="C534" s="1" t="s">
        <v>78</v>
      </c>
      <c r="E534" s="36">
        <v>194</v>
      </c>
      <c r="F534" s="19">
        <v>2694</v>
      </c>
      <c r="G534" s="19">
        <f>5822+0.4</f>
        <v>5822.4</v>
      </c>
      <c r="H534" s="19">
        <f>18669+0.4</f>
        <v>18669.400000000001</v>
      </c>
      <c r="I534" s="19">
        <f>35962+0.4</f>
        <v>35962.400000000001</v>
      </c>
      <c r="J534" s="19">
        <f>16168+0.4</f>
        <v>16168.4</v>
      </c>
    </row>
    <row r="535" spans="2:10" x14ac:dyDescent="0.2">
      <c r="C535" s="1" t="s">
        <v>79</v>
      </c>
      <c r="E535" s="36">
        <v>190</v>
      </c>
      <c r="F535" s="19">
        <v>2736</v>
      </c>
      <c r="G535" s="19">
        <f>6324+0.4</f>
        <v>6324.4</v>
      </c>
      <c r="H535" s="19">
        <f>20802+0.4</f>
        <v>20802.400000000001</v>
      </c>
      <c r="I535" s="19">
        <f>39075+0.4</f>
        <v>39075.4</v>
      </c>
      <c r="J535" s="19">
        <f>17594+0.4</f>
        <v>17594.400000000001</v>
      </c>
    </row>
    <row r="536" spans="2:10" x14ac:dyDescent="0.2">
      <c r="C536" s="1" t="s">
        <v>80</v>
      </c>
      <c r="E536" s="36">
        <v>187</v>
      </c>
      <c r="F536" s="19">
        <v>2848</v>
      </c>
      <c r="G536" s="19">
        <v>6720</v>
      </c>
      <c r="H536" s="19">
        <v>27108</v>
      </c>
      <c r="I536" s="19">
        <v>48948</v>
      </c>
      <c r="J536" s="19">
        <v>20151</v>
      </c>
    </row>
    <row r="537" spans="2:10" x14ac:dyDescent="0.2">
      <c r="C537" s="1" t="s">
        <v>81</v>
      </c>
      <c r="E537" s="36">
        <v>146</v>
      </c>
      <c r="F537" s="19">
        <v>3108</v>
      </c>
      <c r="G537" s="19">
        <v>8048</v>
      </c>
      <c r="H537" s="19">
        <v>31663</v>
      </c>
      <c r="I537" s="19">
        <v>57845</v>
      </c>
      <c r="J537" s="19">
        <v>24979</v>
      </c>
    </row>
    <row r="538" spans="2:10" x14ac:dyDescent="0.2">
      <c r="C538" s="1" t="s">
        <v>82</v>
      </c>
      <c r="E538" s="36">
        <v>149</v>
      </c>
      <c r="F538" s="19">
        <v>2935</v>
      </c>
      <c r="G538" s="19">
        <v>7686</v>
      </c>
      <c r="H538" s="19">
        <v>30973</v>
      </c>
      <c r="I538" s="19">
        <v>54857</v>
      </c>
      <c r="J538" s="19">
        <v>22286</v>
      </c>
    </row>
    <row r="539" spans="2:10" x14ac:dyDescent="0.2">
      <c r="E539" s="9"/>
    </row>
    <row r="540" spans="2:10" x14ac:dyDescent="0.2">
      <c r="C540" s="1" t="s">
        <v>83</v>
      </c>
      <c r="E540" s="36">
        <v>149</v>
      </c>
      <c r="F540" s="19">
        <v>2712</v>
      </c>
      <c r="G540" s="19">
        <v>7069</v>
      </c>
      <c r="H540" s="19">
        <v>29137</v>
      </c>
      <c r="I540" s="19">
        <v>51565</v>
      </c>
      <c r="J540" s="19">
        <v>20404</v>
      </c>
    </row>
    <row r="541" spans="2:10" x14ac:dyDescent="0.2">
      <c r="C541" s="1" t="s">
        <v>84</v>
      </c>
      <c r="E541" s="36">
        <v>142</v>
      </c>
      <c r="F541" s="19">
        <v>2676</v>
      </c>
      <c r="G541" s="19">
        <v>7314</v>
      </c>
      <c r="H541" s="19">
        <v>26130</v>
      </c>
      <c r="I541" s="19">
        <v>46525</v>
      </c>
      <c r="J541" s="19">
        <v>19152</v>
      </c>
    </row>
    <row r="542" spans="2:10" x14ac:dyDescent="0.2">
      <c r="C542" s="1" t="s">
        <v>85</v>
      </c>
      <c r="E542" s="36">
        <v>143</v>
      </c>
      <c r="F542" s="19">
        <v>2533</v>
      </c>
      <c r="G542" s="19">
        <v>7730</v>
      </c>
      <c r="H542" s="19">
        <v>22746</v>
      </c>
      <c r="I542" s="19">
        <v>42815</v>
      </c>
      <c r="J542" s="19">
        <v>17929</v>
      </c>
    </row>
    <row r="543" spans="2:10" x14ac:dyDescent="0.2">
      <c r="C543" s="1" t="s">
        <v>86</v>
      </c>
      <c r="E543" s="36">
        <v>147</v>
      </c>
      <c r="F543" s="19">
        <v>2491</v>
      </c>
      <c r="G543" s="19">
        <v>7566</v>
      </c>
      <c r="H543" s="19">
        <v>22077</v>
      </c>
      <c r="I543" s="19">
        <v>41838</v>
      </c>
      <c r="J543" s="19">
        <v>18583</v>
      </c>
    </row>
    <row r="544" spans="2:10" x14ac:dyDescent="0.2">
      <c r="C544" s="1" t="s">
        <v>87</v>
      </c>
      <c r="E544" s="36">
        <v>143</v>
      </c>
      <c r="F544" s="19">
        <v>2491</v>
      </c>
      <c r="G544" s="19">
        <v>7590</v>
      </c>
      <c r="H544" s="19">
        <v>21038</v>
      </c>
      <c r="I544" s="19">
        <v>40231</v>
      </c>
      <c r="J544" s="19">
        <v>18560</v>
      </c>
    </row>
    <row r="545" spans="2:10" x14ac:dyDescent="0.2">
      <c r="E545" s="9"/>
    </row>
    <row r="546" spans="2:10" x14ac:dyDescent="0.2">
      <c r="C546" s="1" t="s">
        <v>88</v>
      </c>
      <c r="E546" s="36">
        <v>148</v>
      </c>
      <c r="F546" s="19">
        <v>2556</v>
      </c>
      <c r="G546" s="19">
        <v>8241</v>
      </c>
      <c r="H546" s="19">
        <v>23888</v>
      </c>
      <c r="I546" s="19">
        <v>45796</v>
      </c>
      <c r="J546" s="19">
        <v>20036</v>
      </c>
    </row>
    <row r="547" spans="2:10" x14ac:dyDescent="0.2">
      <c r="C547" s="1" t="s">
        <v>89</v>
      </c>
      <c r="E547" s="36">
        <v>146</v>
      </c>
      <c r="F547" s="19">
        <v>2530</v>
      </c>
      <c r="G547" s="19">
        <v>8870</v>
      </c>
      <c r="H547" s="19">
        <v>24255</v>
      </c>
      <c r="I547" s="19">
        <v>48372</v>
      </c>
      <c r="J547" s="19">
        <v>21990</v>
      </c>
    </row>
    <row r="548" spans="2:10" x14ac:dyDescent="0.2">
      <c r="C548" s="1" t="s">
        <v>90</v>
      </c>
      <c r="E548" s="36">
        <v>149</v>
      </c>
      <c r="F548" s="19">
        <v>2555</v>
      </c>
      <c r="G548" s="19">
        <v>9164</v>
      </c>
      <c r="H548" s="19">
        <v>27233</v>
      </c>
      <c r="I548" s="19">
        <v>52859</v>
      </c>
      <c r="J548" s="19">
        <v>23807</v>
      </c>
    </row>
    <row r="549" spans="2:10" x14ac:dyDescent="0.2">
      <c r="C549" s="1" t="s">
        <v>91</v>
      </c>
      <c r="E549" s="36">
        <v>146</v>
      </c>
      <c r="F549" s="19">
        <v>2430</v>
      </c>
      <c r="G549" s="19">
        <v>9141</v>
      </c>
      <c r="H549" s="19">
        <v>28690</v>
      </c>
      <c r="I549" s="19">
        <v>55221</v>
      </c>
      <c r="J549" s="19">
        <v>24269</v>
      </c>
    </row>
    <row r="550" spans="2:10" x14ac:dyDescent="0.2">
      <c r="C550" s="1" t="s">
        <v>92</v>
      </c>
      <c r="E550" s="36">
        <v>150</v>
      </c>
      <c r="F550" s="19">
        <v>2594</v>
      </c>
      <c r="G550" s="19">
        <v>9994</v>
      </c>
      <c r="H550" s="19">
        <v>32363</v>
      </c>
      <c r="I550" s="19">
        <v>58248</v>
      </c>
      <c r="J550" s="19">
        <v>23962</v>
      </c>
    </row>
    <row r="551" spans="2:10" x14ac:dyDescent="0.2">
      <c r="E551" s="9"/>
    </row>
    <row r="552" spans="2:10" x14ac:dyDescent="0.2">
      <c r="C552" s="1" t="s">
        <v>93</v>
      </c>
      <c r="E552" s="36">
        <v>144</v>
      </c>
      <c r="F552" s="19">
        <v>2446</v>
      </c>
      <c r="G552" s="19">
        <v>9842</v>
      </c>
      <c r="H552" s="19">
        <v>29589</v>
      </c>
      <c r="I552" s="19">
        <v>59434</v>
      </c>
      <c r="J552" s="19">
        <v>25981</v>
      </c>
    </row>
    <row r="553" spans="2:10" x14ac:dyDescent="0.2">
      <c r="C553" s="1" t="s">
        <v>94</v>
      </c>
      <c r="E553" s="36">
        <v>139</v>
      </c>
      <c r="F553" s="19">
        <v>2453</v>
      </c>
      <c r="G553" s="19">
        <v>10136</v>
      </c>
      <c r="H553" s="19">
        <v>30197</v>
      </c>
      <c r="I553" s="19">
        <v>59780</v>
      </c>
      <c r="J553" s="19">
        <v>26713</v>
      </c>
    </row>
    <row r="554" spans="2:10" x14ac:dyDescent="0.2">
      <c r="C554" s="1" t="s">
        <v>95</v>
      </c>
      <c r="E554" s="36">
        <v>146</v>
      </c>
      <c r="F554" s="19">
        <v>2502</v>
      </c>
      <c r="G554" s="19">
        <v>10348</v>
      </c>
      <c r="H554" s="19">
        <v>28830</v>
      </c>
      <c r="I554" s="19">
        <v>58592</v>
      </c>
      <c r="J554" s="19">
        <v>26133</v>
      </c>
    </row>
    <row r="555" spans="2:10" x14ac:dyDescent="0.2">
      <c r="C555" s="1" t="s">
        <v>96</v>
      </c>
      <c r="E555" s="36">
        <v>134</v>
      </c>
      <c r="F555" s="19">
        <v>2420</v>
      </c>
      <c r="G555" s="19">
        <v>10496</v>
      </c>
      <c r="H555" s="19">
        <v>26657</v>
      </c>
      <c r="I555" s="19">
        <v>57133</v>
      </c>
      <c r="J555" s="19">
        <v>27074</v>
      </c>
    </row>
    <row r="556" spans="2:10" x14ac:dyDescent="0.2">
      <c r="B556" s="34"/>
      <c r="C556" s="4" t="s">
        <v>368</v>
      </c>
      <c r="D556" s="34"/>
      <c r="E556" s="50">
        <v>129</v>
      </c>
      <c r="F556" s="51">
        <v>2424</v>
      </c>
      <c r="G556" s="51">
        <v>10252</v>
      </c>
      <c r="H556" s="51">
        <v>26936</v>
      </c>
      <c r="I556" s="51">
        <v>52993</v>
      </c>
      <c r="J556" s="51">
        <v>23652</v>
      </c>
    </row>
    <row r="557" spans="2:10" ht="18" thickBot="1" x14ac:dyDescent="0.25">
      <c r="B557" s="5"/>
      <c r="C557" s="5"/>
      <c r="D557" s="5"/>
      <c r="E557" s="38"/>
      <c r="F557" s="5"/>
      <c r="G557" s="5"/>
      <c r="H557" s="5"/>
      <c r="I557" s="5"/>
      <c r="J557" s="5"/>
    </row>
    <row r="558" spans="2:10" x14ac:dyDescent="0.2">
      <c r="E558" s="1" t="s">
        <v>70</v>
      </c>
      <c r="H558" s="1" t="s">
        <v>98</v>
      </c>
    </row>
    <row r="559" spans="2:10" x14ac:dyDescent="0.2">
      <c r="H559" s="1" t="s">
        <v>105</v>
      </c>
    </row>
    <row r="561" spans="1:10" x14ac:dyDescent="0.2">
      <c r="A561" s="1"/>
    </row>
    <row r="562" spans="1:10" x14ac:dyDescent="0.2">
      <c r="A562" s="1"/>
    </row>
    <row r="567" spans="1:10" x14ac:dyDescent="0.2">
      <c r="F567" s="4" t="s">
        <v>100</v>
      </c>
    </row>
    <row r="568" spans="1:10" x14ac:dyDescent="0.2">
      <c r="F568" s="1" t="s">
        <v>101</v>
      </c>
    </row>
    <row r="569" spans="1:10" ht="18" thickBot="1" x14ac:dyDescent="0.25">
      <c r="B569" s="5"/>
      <c r="C569" s="5"/>
      <c r="D569" s="5"/>
      <c r="E569" s="5"/>
      <c r="F569" s="35" t="s">
        <v>102</v>
      </c>
      <c r="G569" s="5"/>
      <c r="H569" s="5"/>
      <c r="I569" s="5"/>
      <c r="J569" s="5"/>
    </row>
    <row r="570" spans="1:10" x14ac:dyDescent="0.2">
      <c r="E570" s="9"/>
      <c r="F570" s="3"/>
      <c r="G570" s="3"/>
      <c r="H570" s="3"/>
      <c r="I570" s="3"/>
      <c r="J570" s="3"/>
    </row>
    <row r="571" spans="1:10" x14ac:dyDescent="0.2">
      <c r="E571" s="6"/>
      <c r="F571" s="7"/>
      <c r="G571" s="8" t="s">
        <v>126</v>
      </c>
      <c r="H571" s="7"/>
      <c r="I571" s="7"/>
      <c r="J571" s="7"/>
    </row>
    <row r="572" spans="1:10" x14ac:dyDescent="0.2">
      <c r="E572" s="9"/>
      <c r="F572" s="9"/>
      <c r="G572" s="9"/>
      <c r="H572" s="10" t="s">
        <v>50</v>
      </c>
      <c r="I572" s="10" t="s">
        <v>51</v>
      </c>
      <c r="J572" s="10" t="s">
        <v>76</v>
      </c>
    </row>
    <row r="573" spans="1:10" x14ac:dyDescent="0.2">
      <c r="B573" s="7"/>
      <c r="C573" s="7"/>
      <c r="D573" s="7"/>
      <c r="E573" s="12" t="s">
        <v>53</v>
      </c>
      <c r="F573" s="12" t="s">
        <v>54</v>
      </c>
      <c r="G573" s="12" t="s">
        <v>55</v>
      </c>
      <c r="H573" s="13" t="s">
        <v>56</v>
      </c>
      <c r="I573" s="13" t="s">
        <v>57</v>
      </c>
      <c r="J573" s="13" t="s">
        <v>58</v>
      </c>
    </row>
    <row r="574" spans="1:10" x14ac:dyDescent="0.2">
      <c r="E574" s="9"/>
      <c r="F574" s="15" t="s">
        <v>17</v>
      </c>
      <c r="G574" s="15" t="s">
        <v>77</v>
      </c>
      <c r="H574" s="15" t="s">
        <v>77</v>
      </c>
      <c r="I574" s="15" t="s">
        <v>77</v>
      </c>
      <c r="J574" s="15" t="s">
        <v>77</v>
      </c>
    </row>
    <row r="575" spans="1:10" x14ac:dyDescent="0.2">
      <c r="C575" s="1" t="s">
        <v>78</v>
      </c>
      <c r="E575" s="36">
        <v>77</v>
      </c>
      <c r="F575" s="19">
        <v>13137</v>
      </c>
      <c r="G575" s="19">
        <f>43766+0.4</f>
        <v>43766.400000000001</v>
      </c>
      <c r="H575" s="19">
        <f>260200+0.4</f>
        <v>260200.4</v>
      </c>
      <c r="I575" s="19">
        <f>465558+0.4</f>
        <v>465558.4</v>
      </c>
      <c r="J575" s="19">
        <f>170743+0.4</f>
        <v>170743.4</v>
      </c>
    </row>
    <row r="576" spans="1:10" x14ac:dyDescent="0.2">
      <c r="C576" s="1" t="s">
        <v>79</v>
      </c>
      <c r="E576" s="36">
        <v>71</v>
      </c>
      <c r="F576" s="19">
        <v>12795</v>
      </c>
      <c r="G576" s="19">
        <f>47546+0.4</f>
        <v>47546.400000000001</v>
      </c>
      <c r="H576" s="19">
        <f>310685+0.4</f>
        <v>310685.40000000002</v>
      </c>
      <c r="I576" s="19">
        <f>531637+0.4</f>
        <v>531637.4</v>
      </c>
      <c r="J576" s="19">
        <f>197021+0.4</f>
        <v>197021.4</v>
      </c>
    </row>
    <row r="577" spans="3:10" x14ac:dyDescent="0.2">
      <c r="C577" s="1" t="s">
        <v>80</v>
      </c>
      <c r="E577" s="36">
        <v>64</v>
      </c>
      <c r="F577" s="19">
        <v>12570</v>
      </c>
      <c r="G577" s="19">
        <v>46482</v>
      </c>
      <c r="H577" s="19">
        <v>347046</v>
      </c>
      <c r="I577" s="19">
        <v>599679</v>
      </c>
      <c r="J577" s="19">
        <v>229466</v>
      </c>
    </row>
    <row r="578" spans="3:10" x14ac:dyDescent="0.2">
      <c r="C578" s="1" t="s">
        <v>81</v>
      </c>
      <c r="E578" s="36">
        <v>54</v>
      </c>
      <c r="F578" s="19">
        <v>12667</v>
      </c>
      <c r="G578" s="19">
        <v>53293</v>
      </c>
      <c r="H578" s="19">
        <v>370239</v>
      </c>
      <c r="I578" s="19">
        <v>726817</v>
      </c>
      <c r="J578" s="19">
        <v>321512</v>
      </c>
    </row>
    <row r="579" spans="3:10" x14ac:dyDescent="0.2">
      <c r="C579" s="1" t="s">
        <v>82</v>
      </c>
      <c r="E579" s="36">
        <v>53</v>
      </c>
      <c r="F579" s="19">
        <v>12731</v>
      </c>
      <c r="G579" s="19">
        <v>58249</v>
      </c>
      <c r="H579" s="19">
        <v>373146</v>
      </c>
      <c r="I579" s="19">
        <v>752979</v>
      </c>
      <c r="J579" s="19">
        <v>329844</v>
      </c>
    </row>
    <row r="580" spans="3:10" x14ac:dyDescent="0.2">
      <c r="E580" s="9"/>
    </row>
    <row r="581" spans="3:10" x14ac:dyDescent="0.2">
      <c r="C581" s="1" t="s">
        <v>83</v>
      </c>
      <c r="E581" s="36">
        <v>44</v>
      </c>
      <c r="F581" s="19">
        <v>13082</v>
      </c>
      <c r="G581" s="19">
        <v>60866</v>
      </c>
      <c r="H581" s="19">
        <v>305954</v>
      </c>
      <c r="I581" s="19">
        <v>500744</v>
      </c>
      <c r="J581" s="19">
        <v>161082</v>
      </c>
    </row>
    <row r="582" spans="3:10" x14ac:dyDescent="0.2">
      <c r="C582" s="1" t="s">
        <v>84</v>
      </c>
      <c r="E582" s="36">
        <v>43</v>
      </c>
      <c r="F582" s="19">
        <v>12441</v>
      </c>
      <c r="G582" s="19">
        <v>56514</v>
      </c>
      <c r="H582" s="19">
        <v>328270</v>
      </c>
      <c r="I582" s="19">
        <v>551719</v>
      </c>
      <c r="J582" s="19">
        <v>188873</v>
      </c>
    </row>
    <row r="583" spans="3:10" x14ac:dyDescent="0.2">
      <c r="C583" s="1" t="s">
        <v>85</v>
      </c>
      <c r="E583" s="36">
        <v>46</v>
      </c>
      <c r="F583" s="19">
        <v>12187</v>
      </c>
      <c r="G583" s="19">
        <v>62554</v>
      </c>
      <c r="H583" s="19">
        <v>370026</v>
      </c>
      <c r="I583" s="19">
        <v>610844</v>
      </c>
      <c r="J583" s="19">
        <v>209316</v>
      </c>
    </row>
    <row r="584" spans="3:10" x14ac:dyDescent="0.2">
      <c r="C584" s="1" t="s">
        <v>86</v>
      </c>
      <c r="E584" s="36">
        <v>50</v>
      </c>
      <c r="F584" s="19">
        <v>10658</v>
      </c>
      <c r="G584" s="19">
        <v>54987</v>
      </c>
      <c r="H584" s="19">
        <v>288183</v>
      </c>
      <c r="I584" s="19">
        <v>452362</v>
      </c>
      <c r="J584" s="19">
        <v>115074</v>
      </c>
    </row>
    <row r="585" spans="3:10" x14ac:dyDescent="0.2">
      <c r="C585" s="1" t="s">
        <v>87</v>
      </c>
      <c r="E585" s="36">
        <v>45</v>
      </c>
      <c r="F585" s="19">
        <v>9955</v>
      </c>
      <c r="G585" s="19">
        <v>51814</v>
      </c>
      <c r="H585" s="19">
        <v>263305</v>
      </c>
      <c r="I585" s="19">
        <v>404159</v>
      </c>
      <c r="J585" s="19">
        <v>106194</v>
      </c>
    </row>
    <row r="586" spans="3:10" x14ac:dyDescent="0.2">
      <c r="E586" s="9"/>
    </row>
    <row r="587" spans="3:10" x14ac:dyDescent="0.2">
      <c r="C587" s="1" t="s">
        <v>88</v>
      </c>
      <c r="E587" s="36">
        <v>44</v>
      </c>
      <c r="F587" s="19">
        <v>9041</v>
      </c>
      <c r="G587" s="19">
        <v>51219</v>
      </c>
      <c r="H587" s="19">
        <v>293090</v>
      </c>
      <c r="I587" s="19">
        <v>493272</v>
      </c>
      <c r="J587" s="19">
        <v>150516</v>
      </c>
    </row>
    <row r="588" spans="3:10" x14ac:dyDescent="0.2">
      <c r="C588" s="1" t="s">
        <v>89</v>
      </c>
      <c r="E588" s="36">
        <v>39</v>
      </c>
      <c r="F588" s="19">
        <v>7950</v>
      </c>
      <c r="G588" s="19">
        <v>47973</v>
      </c>
      <c r="H588" s="19">
        <v>362499</v>
      </c>
      <c r="I588" s="19">
        <v>529009</v>
      </c>
      <c r="J588" s="19">
        <v>126749</v>
      </c>
    </row>
    <row r="589" spans="3:10" x14ac:dyDescent="0.2">
      <c r="C589" s="1" t="s">
        <v>90</v>
      </c>
      <c r="E589" s="36">
        <v>41</v>
      </c>
      <c r="F589" s="19">
        <v>7694</v>
      </c>
      <c r="G589" s="19">
        <v>47931</v>
      </c>
      <c r="H589" s="19">
        <v>369940</v>
      </c>
      <c r="I589" s="19">
        <v>524733</v>
      </c>
      <c r="J589" s="19">
        <v>118926</v>
      </c>
    </row>
    <row r="590" spans="3:10" x14ac:dyDescent="0.2">
      <c r="C590" s="1" t="s">
        <v>91</v>
      </c>
      <c r="E590" s="36">
        <v>39</v>
      </c>
      <c r="F590" s="19">
        <v>7706</v>
      </c>
      <c r="G590" s="19">
        <v>46865</v>
      </c>
      <c r="H590" s="19">
        <v>362802</v>
      </c>
      <c r="I590" s="19">
        <v>533749</v>
      </c>
      <c r="J590" s="19">
        <v>130711</v>
      </c>
    </row>
    <row r="591" spans="3:10" x14ac:dyDescent="0.2">
      <c r="C591" s="1" t="s">
        <v>92</v>
      </c>
      <c r="E591" s="36">
        <v>34</v>
      </c>
      <c r="F591" s="19">
        <v>7442</v>
      </c>
      <c r="G591" s="19">
        <v>45985</v>
      </c>
      <c r="H591" s="19">
        <v>257972</v>
      </c>
      <c r="I591" s="19">
        <v>402609</v>
      </c>
      <c r="J591" s="19">
        <v>111032</v>
      </c>
    </row>
    <row r="592" spans="3:10" x14ac:dyDescent="0.2">
      <c r="E592" s="9"/>
    </row>
    <row r="593" spans="2:10" x14ac:dyDescent="0.2">
      <c r="C593" s="1" t="s">
        <v>93</v>
      </c>
      <c r="E593" s="36">
        <v>36</v>
      </c>
      <c r="F593" s="19">
        <v>7281</v>
      </c>
      <c r="G593" s="19">
        <v>46877</v>
      </c>
      <c r="H593" s="19">
        <v>199999</v>
      </c>
      <c r="I593" s="19">
        <v>365416</v>
      </c>
      <c r="J593" s="19">
        <v>133520</v>
      </c>
    </row>
    <row r="594" spans="2:10" x14ac:dyDescent="0.2">
      <c r="C594" s="1" t="s">
        <v>94</v>
      </c>
      <c r="E594" s="36">
        <v>33</v>
      </c>
      <c r="F594" s="19">
        <v>6943</v>
      </c>
      <c r="G594" s="19">
        <v>46353</v>
      </c>
      <c r="H594" s="19">
        <v>151444</v>
      </c>
      <c r="I594" s="19">
        <v>323017</v>
      </c>
      <c r="J594" s="19">
        <v>133086</v>
      </c>
    </row>
    <row r="595" spans="2:10" x14ac:dyDescent="0.2">
      <c r="C595" s="1" t="s">
        <v>95</v>
      </c>
      <c r="E595" s="36">
        <v>32</v>
      </c>
      <c r="F595" s="19">
        <v>6244</v>
      </c>
      <c r="G595" s="19">
        <v>60248</v>
      </c>
      <c r="H595" s="19">
        <v>186108</v>
      </c>
      <c r="I595" s="19">
        <v>368366</v>
      </c>
      <c r="J595" s="19">
        <v>144480</v>
      </c>
    </row>
    <row r="596" spans="2:10" x14ac:dyDescent="0.2">
      <c r="C596" s="1" t="s">
        <v>96</v>
      </c>
      <c r="E596" s="36">
        <v>34</v>
      </c>
      <c r="F596" s="19">
        <v>5521</v>
      </c>
      <c r="G596" s="19">
        <v>45553</v>
      </c>
      <c r="H596" s="19">
        <v>143301</v>
      </c>
      <c r="I596" s="19">
        <v>322666</v>
      </c>
      <c r="J596" s="19">
        <v>142116</v>
      </c>
    </row>
    <row r="597" spans="2:10" x14ac:dyDescent="0.2">
      <c r="B597" s="34"/>
      <c r="C597" s="4" t="s">
        <v>363</v>
      </c>
      <c r="D597" s="34"/>
      <c r="E597" s="50">
        <v>34</v>
      </c>
      <c r="F597" s="51">
        <v>4537</v>
      </c>
      <c r="G597" s="51">
        <v>36095</v>
      </c>
      <c r="H597" s="51">
        <v>158474</v>
      </c>
      <c r="I597" s="51">
        <v>360717</v>
      </c>
      <c r="J597" s="51">
        <v>158387</v>
      </c>
    </row>
    <row r="598" spans="2:10" ht="18" thickBot="1" x14ac:dyDescent="0.25">
      <c r="B598" s="5"/>
      <c r="C598" s="5"/>
      <c r="D598" s="5"/>
      <c r="E598" s="38"/>
      <c r="F598" s="5"/>
      <c r="G598" s="5"/>
      <c r="H598" s="5"/>
      <c r="I598" s="5"/>
      <c r="J598" s="5"/>
    </row>
    <row r="599" spans="2:10" x14ac:dyDescent="0.2">
      <c r="E599" s="9"/>
      <c r="F599" s="3"/>
      <c r="G599" s="3"/>
      <c r="H599" s="3"/>
      <c r="I599" s="3"/>
      <c r="J599" s="3"/>
    </row>
    <row r="600" spans="2:10" x14ac:dyDescent="0.2">
      <c r="E600" s="6"/>
      <c r="F600" s="7"/>
      <c r="G600" s="8" t="s">
        <v>127</v>
      </c>
      <c r="H600" s="7"/>
      <c r="I600" s="7"/>
      <c r="J600" s="7"/>
    </row>
    <row r="601" spans="2:10" x14ac:dyDescent="0.2">
      <c r="E601" s="9"/>
      <c r="F601" s="9"/>
      <c r="G601" s="9"/>
      <c r="H601" s="10" t="s">
        <v>50</v>
      </c>
      <c r="I601" s="10" t="s">
        <v>51</v>
      </c>
      <c r="J601" s="10" t="s">
        <v>76</v>
      </c>
    </row>
    <row r="602" spans="2:10" x14ac:dyDescent="0.2">
      <c r="B602" s="7"/>
      <c r="C602" s="7"/>
      <c r="D602" s="7"/>
      <c r="E602" s="12" t="s">
        <v>53</v>
      </c>
      <c r="F602" s="12" t="s">
        <v>54</v>
      </c>
      <c r="G602" s="12" t="s">
        <v>55</v>
      </c>
      <c r="H602" s="13" t="s">
        <v>56</v>
      </c>
      <c r="I602" s="13" t="s">
        <v>57</v>
      </c>
      <c r="J602" s="13" t="s">
        <v>58</v>
      </c>
    </row>
    <row r="603" spans="2:10" x14ac:dyDescent="0.2">
      <c r="E603" s="9"/>
      <c r="F603" s="15" t="s">
        <v>17</v>
      </c>
      <c r="G603" s="15" t="s">
        <v>77</v>
      </c>
      <c r="H603" s="15" t="s">
        <v>77</v>
      </c>
      <c r="I603" s="15" t="s">
        <v>77</v>
      </c>
      <c r="J603" s="15" t="s">
        <v>77</v>
      </c>
    </row>
    <row r="604" spans="2:10" x14ac:dyDescent="0.2">
      <c r="C604" s="1" t="s">
        <v>78</v>
      </c>
      <c r="E604" s="36">
        <v>9</v>
      </c>
      <c r="F604" s="19">
        <v>533</v>
      </c>
      <c r="G604" s="19">
        <f>1662+0.4</f>
        <v>1662.4</v>
      </c>
      <c r="H604" s="19">
        <f>6605+0.4</f>
        <v>6605.4</v>
      </c>
      <c r="I604" s="19">
        <f>8728+0.4</f>
        <v>8728.4</v>
      </c>
      <c r="J604" s="19">
        <f>1366+0.4</f>
        <v>1366.4</v>
      </c>
    </row>
    <row r="605" spans="2:10" x14ac:dyDescent="0.2">
      <c r="C605" s="1" t="s">
        <v>79</v>
      </c>
      <c r="E605" s="36">
        <v>10</v>
      </c>
      <c r="F605" s="19">
        <v>536</v>
      </c>
      <c r="G605" s="19">
        <f>1907+0.4</f>
        <v>1907.4</v>
      </c>
      <c r="H605" s="19">
        <f>8453+0.4</f>
        <v>8453.4</v>
      </c>
      <c r="I605" s="19">
        <f>9124+0.4</f>
        <v>9124.4</v>
      </c>
      <c r="J605" s="19">
        <f>1011+0.4</f>
        <v>1011.4</v>
      </c>
    </row>
    <row r="606" spans="2:10" x14ac:dyDescent="0.2">
      <c r="C606" s="1" t="s">
        <v>80</v>
      </c>
      <c r="E606" s="36">
        <v>8</v>
      </c>
      <c r="F606" s="19">
        <v>520</v>
      </c>
      <c r="G606" s="19">
        <v>1972</v>
      </c>
      <c r="H606" s="19">
        <v>9863</v>
      </c>
      <c r="I606" s="19">
        <v>10058</v>
      </c>
      <c r="J606" s="19">
        <v>253</v>
      </c>
    </row>
    <row r="607" spans="2:10" x14ac:dyDescent="0.2">
      <c r="C607" s="1" t="s">
        <v>81</v>
      </c>
      <c r="E607" s="36">
        <v>6</v>
      </c>
      <c r="F607" s="19">
        <v>537</v>
      </c>
      <c r="G607" s="19">
        <v>2134</v>
      </c>
      <c r="H607" s="19">
        <v>8937</v>
      </c>
      <c r="I607" s="19">
        <v>14837</v>
      </c>
      <c r="J607" s="19">
        <v>5359</v>
      </c>
    </row>
    <row r="608" spans="2:10" x14ac:dyDescent="0.2">
      <c r="C608" s="1" t="s">
        <v>82</v>
      </c>
      <c r="E608" s="36">
        <v>5</v>
      </c>
      <c r="F608" s="19">
        <v>519</v>
      </c>
      <c r="G608" s="19">
        <v>2284</v>
      </c>
      <c r="H608" s="19">
        <v>9372</v>
      </c>
      <c r="I608" s="19">
        <v>13811</v>
      </c>
      <c r="J608" s="19">
        <v>4270</v>
      </c>
    </row>
    <row r="609" spans="3:10" x14ac:dyDescent="0.2">
      <c r="E609" s="9"/>
    </row>
    <row r="610" spans="3:10" x14ac:dyDescent="0.2">
      <c r="C610" s="1" t="s">
        <v>83</v>
      </c>
      <c r="E610" s="36">
        <v>5</v>
      </c>
      <c r="F610" s="19">
        <v>510</v>
      </c>
      <c r="G610" s="19">
        <v>2304</v>
      </c>
      <c r="H610" s="19">
        <v>8519</v>
      </c>
      <c r="I610" s="19">
        <v>17332</v>
      </c>
      <c r="J610" s="19">
        <v>8413</v>
      </c>
    </row>
    <row r="611" spans="3:10" x14ac:dyDescent="0.2">
      <c r="C611" s="1" t="s">
        <v>84</v>
      </c>
      <c r="E611" s="36">
        <v>5</v>
      </c>
      <c r="F611" s="19">
        <v>448</v>
      </c>
      <c r="G611" s="19">
        <v>2151</v>
      </c>
      <c r="H611" s="19">
        <v>8807</v>
      </c>
      <c r="I611" s="19">
        <v>14989</v>
      </c>
      <c r="J611" s="19">
        <v>5556</v>
      </c>
    </row>
    <row r="612" spans="3:10" x14ac:dyDescent="0.2">
      <c r="C612" s="1" t="s">
        <v>85</v>
      </c>
      <c r="E612" s="36">
        <v>4</v>
      </c>
      <c r="F612" s="19">
        <v>423</v>
      </c>
      <c r="G612" s="19">
        <v>2269</v>
      </c>
      <c r="H612" s="19">
        <v>8685</v>
      </c>
      <c r="I612" s="19">
        <v>15562</v>
      </c>
      <c r="J612" s="19">
        <v>6707</v>
      </c>
    </row>
    <row r="613" spans="3:10" x14ac:dyDescent="0.2">
      <c r="C613" s="1" t="s">
        <v>86</v>
      </c>
      <c r="E613" s="36">
        <v>5</v>
      </c>
      <c r="F613" s="19">
        <v>470</v>
      </c>
      <c r="G613" s="19">
        <v>2363</v>
      </c>
      <c r="H613" s="19">
        <v>7128</v>
      </c>
      <c r="I613" s="19">
        <v>13156</v>
      </c>
      <c r="J613" s="19">
        <v>5652</v>
      </c>
    </row>
    <row r="614" spans="3:10" x14ac:dyDescent="0.2">
      <c r="C614" s="1" t="s">
        <v>87</v>
      </c>
      <c r="E614" s="36">
        <v>5</v>
      </c>
      <c r="F614" s="19">
        <v>415</v>
      </c>
      <c r="G614" s="19">
        <v>2391</v>
      </c>
      <c r="H614" s="19">
        <v>6131</v>
      </c>
      <c r="I614" s="19">
        <v>12256</v>
      </c>
      <c r="J614" s="19">
        <v>5739</v>
      </c>
    </row>
    <row r="615" spans="3:10" x14ac:dyDescent="0.2">
      <c r="E615" s="9"/>
    </row>
    <row r="616" spans="3:10" x14ac:dyDescent="0.2">
      <c r="C616" s="1" t="s">
        <v>88</v>
      </c>
      <c r="E616" s="36">
        <v>5</v>
      </c>
      <c r="F616" s="19">
        <v>42</v>
      </c>
      <c r="G616" s="19">
        <v>128</v>
      </c>
      <c r="H616" s="19">
        <v>452</v>
      </c>
      <c r="I616" s="19">
        <v>855</v>
      </c>
      <c r="J616" s="19">
        <v>385</v>
      </c>
    </row>
    <row r="617" spans="3:10" x14ac:dyDescent="0.2">
      <c r="C617" s="1" t="s">
        <v>89</v>
      </c>
      <c r="E617" s="36">
        <v>3</v>
      </c>
      <c r="F617" s="19">
        <v>36</v>
      </c>
      <c r="G617" s="19">
        <v>130</v>
      </c>
      <c r="H617" s="19">
        <v>801</v>
      </c>
      <c r="I617" s="19">
        <v>1258</v>
      </c>
      <c r="J617" s="19">
        <v>429</v>
      </c>
    </row>
    <row r="618" spans="3:10" x14ac:dyDescent="0.2">
      <c r="C618" s="1" t="s">
        <v>90</v>
      </c>
      <c r="E618" s="36">
        <v>4</v>
      </c>
      <c r="F618" s="19">
        <v>45</v>
      </c>
      <c r="G618" s="19">
        <v>158</v>
      </c>
      <c r="H618" s="19">
        <v>888</v>
      </c>
      <c r="I618" s="19">
        <v>1416</v>
      </c>
      <c r="J618" s="19">
        <v>494</v>
      </c>
    </row>
    <row r="619" spans="3:10" x14ac:dyDescent="0.2">
      <c r="C619" s="1" t="s">
        <v>91</v>
      </c>
      <c r="E619" s="36">
        <v>4</v>
      </c>
      <c r="F619" s="19">
        <v>43</v>
      </c>
      <c r="G619" s="19">
        <v>171</v>
      </c>
      <c r="H619" s="19">
        <v>895</v>
      </c>
      <c r="I619" s="19">
        <v>1405</v>
      </c>
      <c r="J619" s="19">
        <v>477</v>
      </c>
    </row>
    <row r="620" spans="3:10" x14ac:dyDescent="0.2">
      <c r="C620" s="1" t="s">
        <v>92</v>
      </c>
      <c r="E620" s="36">
        <v>4</v>
      </c>
      <c r="F620" s="19">
        <v>55</v>
      </c>
      <c r="G620" s="19">
        <v>170</v>
      </c>
      <c r="H620" s="19">
        <v>931</v>
      </c>
      <c r="I620" s="19">
        <v>1455</v>
      </c>
      <c r="J620" s="19">
        <v>504</v>
      </c>
    </row>
    <row r="621" spans="3:10" x14ac:dyDescent="0.2">
      <c r="E621" s="9"/>
    </row>
    <row r="622" spans="3:10" x14ac:dyDescent="0.2">
      <c r="C622" s="1" t="s">
        <v>93</v>
      </c>
      <c r="E622" s="36">
        <v>4</v>
      </c>
      <c r="F622" s="19">
        <v>237</v>
      </c>
      <c r="G622" s="19">
        <v>794</v>
      </c>
      <c r="H622" s="19">
        <v>1368</v>
      </c>
      <c r="I622" s="19">
        <v>3162</v>
      </c>
      <c r="J622" s="19">
        <v>1670</v>
      </c>
    </row>
    <row r="623" spans="3:10" x14ac:dyDescent="0.2">
      <c r="C623" s="1" t="s">
        <v>94</v>
      </c>
      <c r="E623" s="36">
        <v>4</v>
      </c>
      <c r="F623" s="19">
        <v>222</v>
      </c>
      <c r="G623" s="19">
        <v>645</v>
      </c>
      <c r="H623" s="19">
        <v>1584</v>
      </c>
      <c r="I623" s="19">
        <v>3009</v>
      </c>
      <c r="J623" s="19">
        <v>1243</v>
      </c>
    </row>
    <row r="624" spans="3:10" x14ac:dyDescent="0.2">
      <c r="C624" s="1" t="s">
        <v>95</v>
      </c>
      <c r="E624" s="36">
        <v>3</v>
      </c>
      <c r="F624" s="19">
        <v>55</v>
      </c>
      <c r="G624" s="19">
        <v>173</v>
      </c>
      <c r="H624" s="19">
        <v>1193</v>
      </c>
      <c r="I624" s="19">
        <v>1481</v>
      </c>
      <c r="J624" s="19">
        <v>172</v>
      </c>
    </row>
    <row r="625" spans="1:10" x14ac:dyDescent="0.2">
      <c r="C625" s="1" t="s">
        <v>96</v>
      </c>
      <c r="E625" s="36">
        <v>3</v>
      </c>
      <c r="F625" s="19">
        <v>70</v>
      </c>
      <c r="G625" s="19">
        <v>223</v>
      </c>
      <c r="H625" s="19">
        <v>1347</v>
      </c>
      <c r="I625" s="19">
        <v>1639</v>
      </c>
      <c r="J625" s="19">
        <v>138</v>
      </c>
    </row>
    <row r="626" spans="1:10" x14ac:dyDescent="0.2">
      <c r="B626" s="34"/>
      <c r="C626" s="4" t="s">
        <v>369</v>
      </c>
      <c r="D626" s="34"/>
      <c r="E626" s="50">
        <v>2</v>
      </c>
      <c r="F626" s="54" t="s">
        <v>370</v>
      </c>
      <c r="G626" s="54" t="s">
        <v>370</v>
      </c>
      <c r="H626" s="54" t="s">
        <v>370</v>
      </c>
      <c r="I626" s="54" t="s">
        <v>370</v>
      </c>
      <c r="J626" s="54" t="s">
        <v>370</v>
      </c>
    </row>
    <row r="627" spans="1:10" ht="18" thickBot="1" x14ac:dyDescent="0.25">
      <c r="B627" s="5"/>
      <c r="C627" s="5"/>
      <c r="D627" s="5"/>
      <c r="E627" s="38"/>
      <c r="F627" s="5"/>
      <c r="G627" s="5"/>
      <c r="H627" s="5"/>
      <c r="I627" s="5"/>
      <c r="J627" s="5"/>
    </row>
    <row r="628" spans="1:10" x14ac:dyDescent="0.2">
      <c r="E628" s="1" t="s">
        <v>70</v>
      </c>
      <c r="H628" s="1" t="s">
        <v>98</v>
      </c>
    </row>
    <row r="629" spans="1:10" x14ac:dyDescent="0.2">
      <c r="H629" s="1" t="s">
        <v>105</v>
      </c>
    </row>
    <row r="631" spans="1:10" x14ac:dyDescent="0.2">
      <c r="A631" s="1"/>
    </row>
    <row r="632" spans="1:10" x14ac:dyDescent="0.2">
      <c r="A632" s="1"/>
    </row>
    <row r="637" spans="1:10" x14ac:dyDescent="0.2">
      <c r="F637" s="4" t="s">
        <v>100</v>
      </c>
    </row>
    <row r="638" spans="1:10" x14ac:dyDescent="0.2">
      <c r="F638" s="1" t="s">
        <v>101</v>
      </c>
    </row>
    <row r="639" spans="1:10" ht="18" thickBot="1" x14ac:dyDescent="0.25">
      <c r="B639" s="5"/>
      <c r="C639" s="5"/>
      <c r="D639" s="5"/>
      <c r="E639" s="5"/>
      <c r="F639" s="35" t="s">
        <v>102</v>
      </c>
      <c r="G639" s="5"/>
      <c r="H639" s="5"/>
      <c r="I639" s="5"/>
      <c r="J639" s="5"/>
    </row>
    <row r="640" spans="1:10" x14ac:dyDescent="0.2">
      <c r="E640" s="9"/>
      <c r="F640" s="3"/>
      <c r="G640" s="3"/>
      <c r="H640" s="3"/>
      <c r="I640" s="3"/>
      <c r="J640" s="3"/>
    </row>
    <row r="641" spans="2:10" x14ac:dyDescent="0.2">
      <c r="E641" s="6"/>
      <c r="F641" s="7"/>
      <c r="G641" s="8" t="s">
        <v>128</v>
      </c>
      <c r="H641" s="7"/>
      <c r="I641" s="7"/>
      <c r="J641" s="7"/>
    </row>
    <row r="642" spans="2:10" x14ac:dyDescent="0.2">
      <c r="E642" s="9"/>
      <c r="F642" s="9"/>
      <c r="G642" s="9"/>
      <c r="H642" s="10" t="s">
        <v>50</v>
      </c>
      <c r="I642" s="10" t="s">
        <v>51</v>
      </c>
      <c r="J642" s="10" t="s">
        <v>76</v>
      </c>
    </row>
    <row r="643" spans="2:10" x14ac:dyDescent="0.2">
      <c r="B643" s="7"/>
      <c r="C643" s="7"/>
      <c r="D643" s="7"/>
      <c r="E643" s="12" t="s">
        <v>53</v>
      </c>
      <c r="F643" s="12" t="s">
        <v>54</v>
      </c>
      <c r="G643" s="12" t="s">
        <v>55</v>
      </c>
      <c r="H643" s="13" t="s">
        <v>56</v>
      </c>
      <c r="I643" s="13" t="s">
        <v>57</v>
      </c>
      <c r="J643" s="13" t="s">
        <v>58</v>
      </c>
    </row>
    <row r="644" spans="2:10" x14ac:dyDescent="0.2">
      <c r="E644" s="9"/>
      <c r="F644" s="15" t="s">
        <v>17</v>
      </c>
      <c r="G644" s="15" t="s">
        <v>77</v>
      </c>
      <c r="H644" s="15" t="s">
        <v>77</v>
      </c>
      <c r="I644" s="15" t="s">
        <v>77</v>
      </c>
      <c r="J644" s="15" t="s">
        <v>77</v>
      </c>
    </row>
    <row r="645" spans="2:10" x14ac:dyDescent="0.2">
      <c r="C645" s="1" t="s">
        <v>78</v>
      </c>
      <c r="E645" s="36">
        <v>337</v>
      </c>
      <c r="F645" s="19">
        <v>3608</v>
      </c>
      <c r="G645" s="19">
        <f>6849+0.4</f>
        <v>6849.4</v>
      </c>
      <c r="H645" s="19">
        <f>14786+0.4</f>
        <v>14786.4</v>
      </c>
      <c r="I645" s="19">
        <f>31557+0.4</f>
        <v>31557.4</v>
      </c>
      <c r="J645" s="19">
        <f>16183+0.4</f>
        <v>16183.4</v>
      </c>
    </row>
    <row r="646" spans="2:10" x14ac:dyDescent="0.2">
      <c r="C646" s="1" t="s">
        <v>79</v>
      </c>
      <c r="E646" s="36">
        <v>318</v>
      </c>
      <c r="F646" s="19">
        <v>3342</v>
      </c>
      <c r="G646" s="19">
        <f>6688+0.4</f>
        <v>6688.4</v>
      </c>
      <c r="H646" s="19">
        <f>16302+0.4</f>
        <v>16302.4</v>
      </c>
      <c r="I646" s="19">
        <f>32035+0.4</f>
        <v>32035.4</v>
      </c>
      <c r="J646" s="19">
        <v>15192</v>
      </c>
    </row>
    <row r="647" spans="2:10" x14ac:dyDescent="0.2">
      <c r="C647" s="1" t="s">
        <v>80</v>
      </c>
      <c r="E647" s="36">
        <v>314</v>
      </c>
      <c r="F647" s="19">
        <v>3198</v>
      </c>
      <c r="G647" s="19">
        <v>6873</v>
      </c>
      <c r="H647" s="19">
        <v>19601</v>
      </c>
      <c r="I647" s="19">
        <v>35053</v>
      </c>
      <c r="J647" s="19">
        <v>14931</v>
      </c>
    </row>
    <row r="648" spans="2:10" x14ac:dyDescent="0.2">
      <c r="C648" s="1" t="s">
        <v>81</v>
      </c>
      <c r="E648" s="36">
        <v>223</v>
      </c>
      <c r="F648" s="19">
        <v>3111</v>
      </c>
      <c r="G648" s="19">
        <v>7363</v>
      </c>
      <c r="H648" s="19">
        <v>21366</v>
      </c>
      <c r="I648" s="19">
        <v>39252</v>
      </c>
      <c r="J648" s="19">
        <v>17234</v>
      </c>
    </row>
    <row r="649" spans="2:10" x14ac:dyDescent="0.2">
      <c r="C649" s="1" t="s">
        <v>82</v>
      </c>
      <c r="E649" s="36">
        <v>214</v>
      </c>
      <c r="F649" s="19">
        <v>2957</v>
      </c>
      <c r="G649" s="19">
        <v>7349</v>
      </c>
      <c r="H649" s="19">
        <v>20367</v>
      </c>
      <c r="I649" s="19">
        <v>37693</v>
      </c>
      <c r="J649" s="19">
        <v>16332</v>
      </c>
    </row>
    <row r="650" spans="2:10" x14ac:dyDescent="0.2">
      <c r="E650" s="9"/>
    </row>
    <row r="651" spans="2:10" x14ac:dyDescent="0.2">
      <c r="C651" s="1" t="s">
        <v>83</v>
      </c>
      <c r="E651" s="36">
        <v>210</v>
      </c>
      <c r="F651" s="19">
        <v>2850</v>
      </c>
      <c r="G651" s="19">
        <v>7225</v>
      </c>
      <c r="H651" s="19">
        <v>20810</v>
      </c>
      <c r="I651" s="19">
        <v>37973</v>
      </c>
      <c r="J651" s="19">
        <v>16481</v>
      </c>
    </row>
    <row r="652" spans="2:10" x14ac:dyDescent="0.2">
      <c r="C652" s="1" t="s">
        <v>84</v>
      </c>
      <c r="E652" s="36">
        <v>189</v>
      </c>
      <c r="F652" s="19">
        <v>2876</v>
      </c>
      <c r="G652" s="19">
        <v>7595</v>
      </c>
      <c r="H652" s="19">
        <v>23921</v>
      </c>
      <c r="I652" s="19">
        <v>43127</v>
      </c>
      <c r="J652" s="19">
        <v>18422</v>
      </c>
    </row>
    <row r="653" spans="2:10" x14ac:dyDescent="0.2">
      <c r="C653" s="1" t="s">
        <v>85</v>
      </c>
      <c r="E653" s="36">
        <v>191</v>
      </c>
      <c r="F653" s="19">
        <v>2946</v>
      </c>
      <c r="G653" s="19">
        <v>8600</v>
      </c>
      <c r="H653" s="19">
        <v>23734</v>
      </c>
      <c r="I653" s="19">
        <v>46459</v>
      </c>
      <c r="J653" s="19">
        <v>22904</v>
      </c>
    </row>
    <row r="654" spans="2:10" x14ac:dyDescent="0.2">
      <c r="C654" s="1" t="s">
        <v>86</v>
      </c>
      <c r="E654" s="36">
        <v>204</v>
      </c>
      <c r="F654" s="19">
        <v>3100</v>
      </c>
      <c r="G654" s="19">
        <v>9504</v>
      </c>
      <c r="H654" s="19">
        <v>24882</v>
      </c>
      <c r="I654" s="19">
        <v>51692</v>
      </c>
      <c r="J654" s="19">
        <v>24752</v>
      </c>
    </row>
    <row r="655" spans="2:10" x14ac:dyDescent="0.2">
      <c r="C655" s="1" t="s">
        <v>87</v>
      </c>
      <c r="E655" s="36">
        <v>192</v>
      </c>
      <c r="F655" s="19">
        <v>2945</v>
      </c>
      <c r="G655" s="19">
        <v>9000</v>
      </c>
      <c r="H655" s="19">
        <v>23051</v>
      </c>
      <c r="I655" s="19">
        <v>49773</v>
      </c>
      <c r="J655" s="19">
        <v>25801</v>
      </c>
    </row>
    <row r="656" spans="2:10" x14ac:dyDescent="0.2">
      <c r="E656" s="9"/>
    </row>
    <row r="657" spans="2:10" x14ac:dyDescent="0.2">
      <c r="C657" s="1" t="s">
        <v>88</v>
      </c>
      <c r="E657" s="36">
        <v>215</v>
      </c>
      <c r="F657" s="19">
        <v>3259</v>
      </c>
      <c r="G657" s="19">
        <v>10073</v>
      </c>
      <c r="H657" s="19">
        <v>27564</v>
      </c>
      <c r="I657" s="19">
        <v>56081</v>
      </c>
      <c r="J657" s="19">
        <v>28096</v>
      </c>
    </row>
    <row r="658" spans="2:10" x14ac:dyDescent="0.2">
      <c r="C658" s="1" t="s">
        <v>89</v>
      </c>
      <c r="E658" s="36">
        <v>205</v>
      </c>
      <c r="F658" s="19">
        <v>3202</v>
      </c>
      <c r="G658" s="19">
        <v>10376</v>
      </c>
      <c r="H658" s="19">
        <v>29023</v>
      </c>
      <c r="I658" s="19">
        <v>58846</v>
      </c>
      <c r="J658" s="19">
        <v>28102</v>
      </c>
    </row>
    <row r="659" spans="2:10" x14ac:dyDescent="0.2">
      <c r="C659" s="1" t="s">
        <v>90</v>
      </c>
      <c r="E659" s="36">
        <v>229</v>
      </c>
      <c r="F659" s="19">
        <v>3406</v>
      </c>
      <c r="G659" s="19">
        <v>11364</v>
      </c>
      <c r="H659" s="19">
        <v>32979</v>
      </c>
      <c r="I659" s="19">
        <v>66678</v>
      </c>
      <c r="J659" s="19">
        <v>31554</v>
      </c>
    </row>
    <row r="660" spans="2:10" x14ac:dyDescent="0.2">
      <c r="C660" s="1" t="s">
        <v>91</v>
      </c>
      <c r="E660" s="36">
        <v>218</v>
      </c>
      <c r="F660" s="19">
        <v>3521</v>
      </c>
      <c r="G660" s="19">
        <v>12538</v>
      </c>
      <c r="H660" s="19">
        <v>33639</v>
      </c>
      <c r="I660" s="19">
        <v>69572</v>
      </c>
      <c r="J660" s="19">
        <v>33798</v>
      </c>
    </row>
    <row r="661" spans="2:10" x14ac:dyDescent="0.2">
      <c r="C661" s="1" t="s">
        <v>92</v>
      </c>
      <c r="E661" s="36">
        <v>207</v>
      </c>
      <c r="F661" s="19">
        <v>3649</v>
      </c>
      <c r="G661" s="19">
        <v>14269</v>
      </c>
      <c r="H661" s="19">
        <v>38612</v>
      </c>
      <c r="I661" s="19">
        <v>81733</v>
      </c>
      <c r="J661" s="19">
        <v>40584</v>
      </c>
    </row>
    <row r="662" spans="2:10" x14ac:dyDescent="0.2">
      <c r="E662" s="9"/>
    </row>
    <row r="663" spans="2:10" x14ac:dyDescent="0.2">
      <c r="C663" s="1" t="s">
        <v>93</v>
      </c>
      <c r="E663" s="36">
        <v>220</v>
      </c>
      <c r="F663" s="19">
        <v>4006</v>
      </c>
      <c r="G663" s="19">
        <v>16555</v>
      </c>
      <c r="H663" s="19">
        <v>47111</v>
      </c>
      <c r="I663" s="19">
        <v>102320</v>
      </c>
      <c r="J663" s="19">
        <v>57102</v>
      </c>
    </row>
    <row r="664" spans="2:10" x14ac:dyDescent="0.2">
      <c r="C664" s="1" t="s">
        <v>94</v>
      </c>
      <c r="E664" s="36">
        <v>206</v>
      </c>
      <c r="F664" s="19">
        <v>3858</v>
      </c>
      <c r="G664" s="19">
        <v>17189</v>
      </c>
      <c r="H664" s="19">
        <v>37312</v>
      </c>
      <c r="I664" s="19">
        <v>93989</v>
      </c>
      <c r="J664" s="19">
        <v>54219</v>
      </c>
    </row>
    <row r="665" spans="2:10" x14ac:dyDescent="0.2">
      <c r="C665" s="1" t="s">
        <v>95</v>
      </c>
      <c r="E665" s="36">
        <v>216</v>
      </c>
      <c r="F665" s="19">
        <v>3863</v>
      </c>
      <c r="G665" s="19">
        <v>16768</v>
      </c>
      <c r="H665" s="19">
        <v>36532</v>
      </c>
      <c r="I665" s="19">
        <v>95742</v>
      </c>
      <c r="J665" s="19">
        <v>50183</v>
      </c>
    </row>
    <row r="666" spans="2:10" x14ac:dyDescent="0.2">
      <c r="C666" s="1" t="s">
        <v>96</v>
      </c>
      <c r="E666" s="36">
        <v>203</v>
      </c>
      <c r="F666" s="19">
        <v>3770</v>
      </c>
      <c r="G666" s="19">
        <v>16465</v>
      </c>
      <c r="H666" s="19">
        <v>37620</v>
      </c>
      <c r="I666" s="19">
        <v>97604</v>
      </c>
      <c r="J666" s="19">
        <v>55281</v>
      </c>
    </row>
    <row r="667" spans="2:10" x14ac:dyDescent="0.2">
      <c r="B667" s="34"/>
      <c r="C667" s="4" t="s">
        <v>363</v>
      </c>
      <c r="D667" s="34"/>
      <c r="E667" s="50">
        <v>201</v>
      </c>
      <c r="F667" s="51">
        <v>4066</v>
      </c>
      <c r="G667" s="51">
        <v>17461</v>
      </c>
      <c r="H667" s="51">
        <v>39565</v>
      </c>
      <c r="I667" s="51">
        <v>97560</v>
      </c>
      <c r="J667" s="51">
        <v>55172</v>
      </c>
    </row>
    <row r="668" spans="2:10" ht="18" thickBot="1" x14ac:dyDescent="0.25">
      <c r="B668" s="5"/>
      <c r="C668" s="5"/>
      <c r="D668" s="5"/>
      <c r="E668" s="38"/>
      <c r="F668" s="5"/>
      <c r="G668" s="5"/>
      <c r="H668" s="5"/>
      <c r="I668" s="5"/>
      <c r="J668" s="5"/>
    </row>
    <row r="669" spans="2:10" x14ac:dyDescent="0.2">
      <c r="E669" s="9"/>
      <c r="F669" s="3"/>
      <c r="G669" s="3"/>
      <c r="H669" s="3"/>
      <c r="I669" s="3"/>
      <c r="J669" s="3"/>
    </row>
    <row r="670" spans="2:10" x14ac:dyDescent="0.2">
      <c r="E670" s="6"/>
      <c r="F670" s="7"/>
      <c r="G670" s="8" t="s">
        <v>129</v>
      </c>
      <c r="H670" s="7"/>
      <c r="I670" s="7"/>
      <c r="J670" s="7"/>
    </row>
    <row r="671" spans="2:10" x14ac:dyDescent="0.2">
      <c r="E671" s="9"/>
      <c r="F671" s="9"/>
      <c r="G671" s="9"/>
      <c r="H671" s="10" t="s">
        <v>50</v>
      </c>
      <c r="I671" s="10" t="s">
        <v>51</v>
      </c>
      <c r="J671" s="10" t="s">
        <v>76</v>
      </c>
    </row>
    <row r="672" spans="2:10" x14ac:dyDescent="0.2">
      <c r="B672" s="7"/>
      <c r="C672" s="7"/>
      <c r="D672" s="7"/>
      <c r="E672" s="12" t="s">
        <v>53</v>
      </c>
      <c r="F672" s="12" t="s">
        <v>54</v>
      </c>
      <c r="G672" s="12" t="s">
        <v>55</v>
      </c>
      <c r="H672" s="13" t="s">
        <v>56</v>
      </c>
      <c r="I672" s="13" t="s">
        <v>57</v>
      </c>
      <c r="J672" s="13" t="s">
        <v>58</v>
      </c>
    </row>
    <row r="673" spans="3:10" x14ac:dyDescent="0.2">
      <c r="E673" s="9"/>
      <c r="F673" s="15" t="s">
        <v>17</v>
      </c>
      <c r="G673" s="15" t="s">
        <v>77</v>
      </c>
      <c r="H673" s="15" t="s">
        <v>77</v>
      </c>
      <c r="I673" s="15" t="s">
        <v>77</v>
      </c>
      <c r="J673" s="15" t="s">
        <v>77</v>
      </c>
    </row>
    <row r="674" spans="3:10" x14ac:dyDescent="0.2">
      <c r="C674" s="1" t="s">
        <v>78</v>
      </c>
      <c r="E674" s="36">
        <v>301</v>
      </c>
      <c r="F674" s="19">
        <v>4530</v>
      </c>
      <c r="G674" s="19">
        <f>10332+0.4</f>
        <v>10332.4</v>
      </c>
      <c r="H674" s="19">
        <f>33924+0.4</f>
        <v>33924.400000000001</v>
      </c>
      <c r="I674" s="19">
        <f>60786+0.4</f>
        <v>60786.400000000001</v>
      </c>
      <c r="J674" s="19">
        <f>26201+0.4</f>
        <v>26201.4</v>
      </c>
    </row>
    <row r="675" spans="3:10" x14ac:dyDescent="0.2">
      <c r="C675" s="1" t="s">
        <v>79</v>
      </c>
      <c r="E675" s="36">
        <v>294</v>
      </c>
      <c r="F675" s="19">
        <v>4649</v>
      </c>
      <c r="G675" s="19">
        <f>12513+0.4</f>
        <v>12513.4</v>
      </c>
      <c r="H675" s="19">
        <f>34165+0.4</f>
        <v>34165.4</v>
      </c>
      <c r="I675" s="19">
        <f>64285+0.4</f>
        <v>64285.4</v>
      </c>
      <c r="J675" s="19">
        <v>30532</v>
      </c>
    </row>
    <row r="676" spans="3:10" x14ac:dyDescent="0.2">
      <c r="C676" s="1" t="s">
        <v>80</v>
      </c>
      <c r="E676" s="36">
        <v>293</v>
      </c>
      <c r="F676" s="19">
        <v>4740</v>
      </c>
      <c r="G676" s="19">
        <v>13521</v>
      </c>
      <c r="H676" s="19">
        <v>38540</v>
      </c>
      <c r="I676" s="19">
        <v>68520</v>
      </c>
      <c r="J676" s="19">
        <v>30161</v>
      </c>
    </row>
    <row r="677" spans="3:10" x14ac:dyDescent="0.2">
      <c r="C677" s="1" t="s">
        <v>81</v>
      </c>
      <c r="E677" s="36">
        <v>212</v>
      </c>
      <c r="F677" s="19">
        <v>4767</v>
      </c>
      <c r="G677" s="19">
        <v>14245</v>
      </c>
      <c r="H677" s="19">
        <v>43542</v>
      </c>
      <c r="I677" s="19">
        <v>82009</v>
      </c>
      <c r="J677" s="19">
        <v>36524</v>
      </c>
    </row>
    <row r="678" spans="3:10" x14ac:dyDescent="0.2">
      <c r="C678" s="1" t="s">
        <v>82</v>
      </c>
      <c r="E678" s="36">
        <v>204</v>
      </c>
      <c r="F678" s="19">
        <v>4599</v>
      </c>
      <c r="G678" s="19">
        <v>14851</v>
      </c>
      <c r="H678" s="19">
        <v>42552</v>
      </c>
      <c r="I678" s="19">
        <v>84731</v>
      </c>
      <c r="J678" s="19">
        <v>43453</v>
      </c>
    </row>
    <row r="679" spans="3:10" x14ac:dyDescent="0.2">
      <c r="E679" s="9"/>
    </row>
    <row r="680" spans="3:10" x14ac:dyDescent="0.2">
      <c r="C680" s="1" t="s">
        <v>83</v>
      </c>
      <c r="E680" s="36">
        <v>212</v>
      </c>
      <c r="F680" s="19">
        <v>4619</v>
      </c>
      <c r="G680" s="19">
        <v>14742</v>
      </c>
      <c r="H680" s="19">
        <v>45197</v>
      </c>
      <c r="I680" s="19">
        <v>91042</v>
      </c>
      <c r="J680" s="19">
        <v>43517</v>
      </c>
    </row>
    <row r="681" spans="3:10" x14ac:dyDescent="0.2">
      <c r="C681" s="1" t="s">
        <v>84</v>
      </c>
      <c r="E681" s="36">
        <v>202</v>
      </c>
      <c r="F681" s="19">
        <v>4608</v>
      </c>
      <c r="G681" s="19">
        <v>15806</v>
      </c>
      <c r="H681" s="19">
        <v>54317</v>
      </c>
      <c r="I681" s="19">
        <v>102087</v>
      </c>
      <c r="J681" s="19">
        <v>45061</v>
      </c>
    </row>
    <row r="682" spans="3:10" x14ac:dyDescent="0.2">
      <c r="C682" s="1" t="s">
        <v>85</v>
      </c>
      <c r="E682" s="36">
        <v>217</v>
      </c>
      <c r="F682" s="19">
        <v>4937</v>
      </c>
      <c r="G682" s="19">
        <v>18101</v>
      </c>
      <c r="H682" s="19">
        <v>62691</v>
      </c>
      <c r="I682" s="19">
        <v>115644</v>
      </c>
      <c r="J682" s="19">
        <v>53254</v>
      </c>
    </row>
    <row r="683" spans="3:10" x14ac:dyDescent="0.2">
      <c r="C683" s="1" t="s">
        <v>86</v>
      </c>
      <c r="E683" s="36">
        <v>219</v>
      </c>
      <c r="F683" s="19">
        <v>4860</v>
      </c>
      <c r="G683" s="19">
        <v>17940</v>
      </c>
      <c r="H683" s="19">
        <v>61734</v>
      </c>
      <c r="I683" s="19">
        <v>119234</v>
      </c>
      <c r="J683" s="19">
        <v>49459</v>
      </c>
    </row>
    <row r="684" spans="3:10" x14ac:dyDescent="0.2">
      <c r="C684" s="1" t="s">
        <v>87</v>
      </c>
      <c r="E684" s="36">
        <v>210</v>
      </c>
      <c r="F684" s="19">
        <v>4853</v>
      </c>
      <c r="G684" s="19">
        <v>18938</v>
      </c>
      <c r="H684" s="19">
        <v>62262</v>
      </c>
      <c r="I684" s="19">
        <v>126978</v>
      </c>
      <c r="J684" s="19">
        <v>60134</v>
      </c>
    </row>
    <row r="685" spans="3:10" x14ac:dyDescent="0.2">
      <c r="E685" s="9"/>
    </row>
    <row r="686" spans="3:10" x14ac:dyDescent="0.2">
      <c r="C686" s="1" t="s">
        <v>88</v>
      </c>
      <c r="E686" s="36">
        <v>201</v>
      </c>
      <c r="F686" s="19">
        <v>4908</v>
      </c>
      <c r="G686" s="19">
        <v>19278</v>
      </c>
      <c r="H686" s="19">
        <v>74879</v>
      </c>
      <c r="I686" s="19">
        <v>141621</v>
      </c>
      <c r="J686" s="19">
        <v>64124</v>
      </c>
    </row>
    <row r="687" spans="3:10" x14ac:dyDescent="0.2">
      <c r="C687" s="1" t="s">
        <v>89</v>
      </c>
      <c r="E687" s="36">
        <v>211</v>
      </c>
      <c r="F687" s="19">
        <v>5408</v>
      </c>
      <c r="G687" s="19">
        <v>22238</v>
      </c>
      <c r="H687" s="19">
        <v>79529</v>
      </c>
      <c r="I687" s="19">
        <v>150530</v>
      </c>
      <c r="J687" s="19">
        <v>67359</v>
      </c>
    </row>
    <row r="688" spans="3:10" x14ac:dyDescent="0.2">
      <c r="C688" s="1" t="s">
        <v>90</v>
      </c>
      <c r="E688" s="36">
        <v>229</v>
      </c>
      <c r="F688" s="19">
        <v>6224</v>
      </c>
      <c r="G688" s="19">
        <v>26000</v>
      </c>
      <c r="H688" s="19">
        <v>94057</v>
      </c>
      <c r="I688" s="19">
        <v>187626</v>
      </c>
      <c r="J688" s="19">
        <v>87379</v>
      </c>
    </row>
    <row r="689" spans="1:10" x14ac:dyDescent="0.2">
      <c r="C689" s="1" t="s">
        <v>91</v>
      </c>
      <c r="E689" s="36">
        <v>225</v>
      </c>
      <c r="F689" s="19">
        <v>6573</v>
      </c>
      <c r="G689" s="19">
        <v>28218</v>
      </c>
      <c r="H689" s="19">
        <v>110174</v>
      </c>
      <c r="I689" s="19">
        <v>207847</v>
      </c>
      <c r="J689" s="19">
        <v>96608</v>
      </c>
    </row>
    <row r="690" spans="1:10" x14ac:dyDescent="0.2">
      <c r="C690" s="1" t="s">
        <v>92</v>
      </c>
      <c r="E690" s="36">
        <v>227</v>
      </c>
      <c r="F690" s="19">
        <v>7031</v>
      </c>
      <c r="G690" s="19">
        <v>31176</v>
      </c>
      <c r="H690" s="19">
        <v>110233</v>
      </c>
      <c r="I690" s="19">
        <v>210315</v>
      </c>
      <c r="J690" s="19">
        <v>93446</v>
      </c>
    </row>
    <row r="691" spans="1:10" x14ac:dyDescent="0.2">
      <c r="E691" s="9"/>
    </row>
    <row r="692" spans="1:10" x14ac:dyDescent="0.2">
      <c r="C692" s="1" t="s">
        <v>93</v>
      </c>
      <c r="E692" s="36">
        <v>225</v>
      </c>
      <c r="F692" s="19">
        <v>6596</v>
      </c>
      <c r="G692" s="19">
        <v>29611</v>
      </c>
      <c r="H692" s="19">
        <v>94735</v>
      </c>
      <c r="I692" s="19">
        <v>205332</v>
      </c>
      <c r="J692" s="19">
        <v>102746</v>
      </c>
    </row>
    <row r="693" spans="1:10" x14ac:dyDescent="0.2">
      <c r="C693" s="1" t="s">
        <v>94</v>
      </c>
      <c r="E693" s="36">
        <v>206</v>
      </c>
      <c r="F693" s="19">
        <v>6055</v>
      </c>
      <c r="G693" s="19">
        <v>28028</v>
      </c>
      <c r="H693" s="19">
        <v>86954</v>
      </c>
      <c r="I693" s="19">
        <v>186829</v>
      </c>
      <c r="J693" s="19">
        <v>94917</v>
      </c>
    </row>
    <row r="694" spans="1:10" x14ac:dyDescent="0.2">
      <c r="C694" s="1" t="s">
        <v>95</v>
      </c>
      <c r="E694" s="36">
        <v>212</v>
      </c>
      <c r="F694" s="19">
        <v>6127</v>
      </c>
      <c r="G694" s="19">
        <v>28323</v>
      </c>
      <c r="H694" s="19">
        <v>89898</v>
      </c>
      <c r="I694" s="19">
        <v>198164</v>
      </c>
      <c r="J694" s="19">
        <v>101753</v>
      </c>
    </row>
    <row r="695" spans="1:10" x14ac:dyDescent="0.2">
      <c r="C695" s="1" t="s">
        <v>96</v>
      </c>
      <c r="E695" s="36">
        <v>197</v>
      </c>
      <c r="F695" s="19">
        <v>6047</v>
      </c>
      <c r="G695" s="19">
        <v>29583</v>
      </c>
      <c r="H695" s="19">
        <v>94349</v>
      </c>
      <c r="I695" s="19">
        <v>205753</v>
      </c>
      <c r="J695" s="19">
        <v>105114</v>
      </c>
    </row>
    <row r="696" spans="1:10" x14ac:dyDescent="0.2">
      <c r="B696" s="34"/>
      <c r="C696" s="4" t="s">
        <v>363</v>
      </c>
      <c r="D696" s="34"/>
      <c r="E696" s="50">
        <v>195</v>
      </c>
      <c r="F696" s="51">
        <v>5994</v>
      </c>
      <c r="G696" s="51">
        <v>29318</v>
      </c>
      <c r="H696" s="51">
        <v>97264</v>
      </c>
      <c r="I696" s="51">
        <v>206893</v>
      </c>
      <c r="J696" s="51">
        <v>103101</v>
      </c>
    </row>
    <row r="697" spans="1:10" ht="18" thickBot="1" x14ac:dyDescent="0.25">
      <c r="B697" s="5"/>
      <c r="C697" s="5"/>
      <c r="D697" s="5"/>
      <c r="E697" s="38"/>
      <c r="F697" s="5"/>
      <c r="G697" s="5"/>
      <c r="H697" s="5"/>
      <c r="I697" s="5"/>
      <c r="J697" s="5"/>
    </row>
    <row r="698" spans="1:10" x14ac:dyDescent="0.2">
      <c r="E698" s="1" t="s">
        <v>70</v>
      </c>
      <c r="H698" s="1" t="s">
        <v>98</v>
      </c>
    </row>
    <row r="699" spans="1:10" x14ac:dyDescent="0.2">
      <c r="H699" s="1" t="s">
        <v>105</v>
      </c>
    </row>
    <row r="701" spans="1:10" x14ac:dyDescent="0.2">
      <c r="A701" s="1"/>
    </row>
    <row r="702" spans="1:10" x14ac:dyDescent="0.2">
      <c r="A702" s="1"/>
    </row>
    <row r="707" spans="2:10" x14ac:dyDescent="0.2">
      <c r="F707" s="4" t="s">
        <v>100</v>
      </c>
    </row>
    <row r="708" spans="2:10" x14ac:dyDescent="0.2">
      <c r="F708" s="1" t="s">
        <v>101</v>
      </c>
    </row>
    <row r="709" spans="2:10" ht="18" thickBot="1" x14ac:dyDescent="0.25">
      <c r="B709" s="5"/>
      <c r="C709" s="5"/>
      <c r="D709" s="5"/>
      <c r="E709" s="5"/>
      <c r="F709" s="35" t="s">
        <v>102</v>
      </c>
      <c r="G709" s="5"/>
      <c r="H709" s="5"/>
      <c r="I709" s="5"/>
      <c r="J709" s="5"/>
    </row>
    <row r="710" spans="2:10" x14ac:dyDescent="0.2">
      <c r="E710" s="9"/>
      <c r="F710" s="3"/>
      <c r="G710" s="3"/>
      <c r="H710" s="3"/>
      <c r="I710" s="3"/>
      <c r="J710" s="3"/>
    </row>
    <row r="711" spans="2:10" x14ac:dyDescent="0.2">
      <c r="E711" s="6"/>
      <c r="F711" s="7"/>
      <c r="G711" s="8" t="s">
        <v>131</v>
      </c>
      <c r="H711" s="7"/>
      <c r="I711" s="7"/>
      <c r="J711" s="7"/>
    </row>
    <row r="712" spans="2:10" x14ac:dyDescent="0.2">
      <c r="E712" s="9"/>
      <c r="F712" s="9"/>
      <c r="G712" s="9"/>
      <c r="H712" s="10" t="s">
        <v>50</v>
      </c>
      <c r="I712" s="10" t="s">
        <v>51</v>
      </c>
      <c r="J712" s="10" t="s">
        <v>76</v>
      </c>
    </row>
    <row r="713" spans="2:10" x14ac:dyDescent="0.2">
      <c r="B713" s="7"/>
      <c r="C713" s="7"/>
      <c r="D713" s="7"/>
      <c r="E713" s="12" t="s">
        <v>53</v>
      </c>
      <c r="F713" s="12" t="s">
        <v>54</v>
      </c>
      <c r="G713" s="12" t="s">
        <v>55</v>
      </c>
      <c r="H713" s="13" t="s">
        <v>56</v>
      </c>
      <c r="I713" s="13" t="s">
        <v>57</v>
      </c>
      <c r="J713" s="13" t="s">
        <v>58</v>
      </c>
    </row>
    <row r="714" spans="2:10" x14ac:dyDescent="0.2">
      <c r="E714" s="9"/>
      <c r="F714" s="15" t="s">
        <v>17</v>
      </c>
      <c r="G714" s="15" t="s">
        <v>77</v>
      </c>
      <c r="H714" s="15" t="s">
        <v>77</v>
      </c>
      <c r="I714" s="15" t="s">
        <v>77</v>
      </c>
      <c r="J714" s="15" t="s">
        <v>77</v>
      </c>
    </row>
    <row r="715" spans="2:10" x14ac:dyDescent="0.2">
      <c r="C715" s="1" t="s">
        <v>78</v>
      </c>
      <c r="E715" s="36">
        <v>31</v>
      </c>
      <c r="F715" s="19">
        <v>463</v>
      </c>
      <c r="G715" s="19">
        <f>779+0.4</f>
        <v>779.4</v>
      </c>
      <c r="H715" s="19">
        <f>1452+0.4</f>
        <v>1452.4</v>
      </c>
      <c r="I715" s="19">
        <f>2707+0.4</f>
        <v>2707.4</v>
      </c>
      <c r="J715" s="19">
        <f>1212+0.4</f>
        <v>1212.4000000000001</v>
      </c>
    </row>
    <row r="716" spans="2:10" x14ac:dyDescent="0.2">
      <c r="C716" s="1" t="s">
        <v>79</v>
      </c>
      <c r="E716" s="36">
        <v>34</v>
      </c>
      <c r="F716" s="19">
        <v>548</v>
      </c>
      <c r="G716" s="19">
        <f>737+0.4</f>
        <v>737.4</v>
      </c>
      <c r="H716" s="19">
        <f>1549+0.4</f>
        <v>1549.4</v>
      </c>
      <c r="I716" s="19">
        <f>2950+0.4</f>
        <v>2950.4</v>
      </c>
      <c r="J716" s="19">
        <v>1348</v>
      </c>
    </row>
    <row r="717" spans="2:10" x14ac:dyDescent="0.2">
      <c r="C717" s="1" t="s">
        <v>80</v>
      </c>
      <c r="E717" s="36">
        <v>30</v>
      </c>
      <c r="F717" s="19">
        <v>510</v>
      </c>
      <c r="G717" s="19">
        <v>861</v>
      </c>
      <c r="H717" s="19">
        <v>1850</v>
      </c>
      <c r="I717" s="19">
        <v>3496</v>
      </c>
      <c r="J717" s="19">
        <v>1593</v>
      </c>
    </row>
    <row r="718" spans="2:10" x14ac:dyDescent="0.2">
      <c r="C718" s="1" t="s">
        <v>81</v>
      </c>
      <c r="E718" s="36">
        <v>33</v>
      </c>
      <c r="F718" s="19">
        <v>699</v>
      </c>
      <c r="G718" s="19">
        <v>1225</v>
      </c>
      <c r="H718" s="19">
        <v>3272</v>
      </c>
      <c r="I718" s="19">
        <v>5727</v>
      </c>
      <c r="J718" s="19">
        <v>2404</v>
      </c>
    </row>
    <row r="719" spans="2:10" x14ac:dyDescent="0.2">
      <c r="C719" s="1" t="s">
        <v>82</v>
      </c>
      <c r="E719" s="36">
        <v>35</v>
      </c>
      <c r="F719" s="19">
        <v>744</v>
      </c>
      <c r="G719" s="19">
        <v>1460</v>
      </c>
      <c r="H719" s="19">
        <v>3690</v>
      </c>
      <c r="I719" s="19">
        <v>6651</v>
      </c>
      <c r="J719" s="19">
        <v>2820</v>
      </c>
    </row>
    <row r="720" spans="2:10" x14ac:dyDescent="0.2">
      <c r="E720" s="9"/>
    </row>
    <row r="721" spans="3:10" x14ac:dyDescent="0.2">
      <c r="C721" s="1" t="s">
        <v>83</v>
      </c>
      <c r="E721" s="36">
        <v>32</v>
      </c>
      <c r="F721" s="19">
        <v>793</v>
      </c>
      <c r="G721" s="19">
        <v>1643</v>
      </c>
      <c r="H721" s="19">
        <v>4931</v>
      </c>
      <c r="I721" s="19">
        <v>8317</v>
      </c>
      <c r="J721" s="19">
        <v>3251</v>
      </c>
    </row>
    <row r="722" spans="3:10" x14ac:dyDescent="0.2">
      <c r="C722" s="1" t="s">
        <v>84</v>
      </c>
      <c r="E722" s="36">
        <v>32</v>
      </c>
      <c r="F722" s="19">
        <v>940</v>
      </c>
      <c r="G722" s="19">
        <v>1695</v>
      </c>
      <c r="H722" s="19">
        <v>4636</v>
      </c>
      <c r="I722" s="19">
        <v>8244</v>
      </c>
      <c r="J722" s="19">
        <v>3530</v>
      </c>
    </row>
    <row r="723" spans="3:10" x14ac:dyDescent="0.2">
      <c r="C723" s="1" t="s">
        <v>85</v>
      </c>
      <c r="E723" s="36">
        <v>41</v>
      </c>
      <c r="F723" s="19">
        <v>1085</v>
      </c>
      <c r="G723" s="19">
        <v>2217</v>
      </c>
      <c r="H723" s="19">
        <v>7019</v>
      </c>
      <c r="I723" s="19">
        <v>11767</v>
      </c>
      <c r="J723" s="19">
        <v>4687</v>
      </c>
    </row>
    <row r="724" spans="3:10" x14ac:dyDescent="0.2">
      <c r="C724" s="1" t="s">
        <v>86</v>
      </c>
      <c r="E724" s="36">
        <v>49</v>
      </c>
      <c r="F724" s="19">
        <v>1434</v>
      </c>
      <c r="G724" s="19">
        <v>3303</v>
      </c>
      <c r="H724" s="19">
        <v>9439</v>
      </c>
      <c r="I724" s="19">
        <v>21629</v>
      </c>
      <c r="J724" s="19">
        <v>11901</v>
      </c>
    </row>
    <row r="725" spans="3:10" x14ac:dyDescent="0.2">
      <c r="C725" s="1" t="s">
        <v>87</v>
      </c>
      <c r="E725" s="36">
        <v>45</v>
      </c>
      <c r="F725" s="19">
        <v>1312</v>
      </c>
      <c r="G725" s="19">
        <v>2751</v>
      </c>
      <c r="H725" s="19">
        <v>7609</v>
      </c>
      <c r="I725" s="19">
        <v>18478</v>
      </c>
      <c r="J725" s="19">
        <v>10586</v>
      </c>
    </row>
    <row r="726" spans="3:10" x14ac:dyDescent="0.2">
      <c r="E726" s="9"/>
    </row>
    <row r="727" spans="3:10" x14ac:dyDescent="0.2">
      <c r="C727" s="1" t="s">
        <v>88</v>
      </c>
      <c r="E727" s="36">
        <v>47</v>
      </c>
      <c r="F727" s="19">
        <v>1303</v>
      </c>
      <c r="G727" s="19">
        <v>2818</v>
      </c>
      <c r="H727" s="19">
        <v>6888</v>
      </c>
      <c r="I727" s="19">
        <v>12808</v>
      </c>
      <c r="J727" s="19">
        <v>5699</v>
      </c>
    </row>
    <row r="728" spans="3:10" x14ac:dyDescent="0.2">
      <c r="C728" s="1" t="s">
        <v>89</v>
      </c>
      <c r="E728" s="36">
        <v>47</v>
      </c>
      <c r="F728" s="19">
        <v>1351</v>
      </c>
      <c r="G728" s="19">
        <v>2857</v>
      </c>
      <c r="H728" s="19">
        <v>8171</v>
      </c>
      <c r="I728" s="19">
        <v>13779</v>
      </c>
      <c r="J728" s="19">
        <v>5323</v>
      </c>
    </row>
    <row r="729" spans="3:10" x14ac:dyDescent="0.2">
      <c r="C729" s="1" t="s">
        <v>90</v>
      </c>
      <c r="E729" s="36">
        <v>50</v>
      </c>
      <c r="F729" s="19">
        <v>1757</v>
      </c>
      <c r="G729" s="19">
        <v>4039</v>
      </c>
      <c r="H729" s="19">
        <v>10294</v>
      </c>
      <c r="I729" s="19">
        <v>18908</v>
      </c>
      <c r="J729" s="19">
        <v>8193</v>
      </c>
    </row>
    <row r="730" spans="3:10" x14ac:dyDescent="0.2">
      <c r="C730" s="1" t="s">
        <v>91</v>
      </c>
      <c r="E730" s="36">
        <v>55</v>
      </c>
      <c r="F730" s="19">
        <v>2011</v>
      </c>
      <c r="G730" s="19">
        <v>5169</v>
      </c>
      <c r="H730" s="19">
        <v>14523</v>
      </c>
      <c r="I730" s="19">
        <v>24856</v>
      </c>
      <c r="J730" s="19">
        <v>9837</v>
      </c>
    </row>
    <row r="731" spans="3:10" x14ac:dyDescent="0.2">
      <c r="C731" s="1" t="s">
        <v>92</v>
      </c>
      <c r="E731" s="36">
        <v>57</v>
      </c>
      <c r="F731" s="19">
        <v>2503</v>
      </c>
      <c r="G731" s="19">
        <v>7693</v>
      </c>
      <c r="H731" s="19">
        <v>28784</v>
      </c>
      <c r="I731" s="19">
        <v>48702</v>
      </c>
      <c r="J731" s="19">
        <v>18887</v>
      </c>
    </row>
    <row r="732" spans="3:10" x14ac:dyDescent="0.2">
      <c r="E732" s="9"/>
    </row>
    <row r="733" spans="3:10" x14ac:dyDescent="0.2">
      <c r="C733" s="1" t="s">
        <v>93</v>
      </c>
      <c r="E733" s="36">
        <v>51</v>
      </c>
      <c r="F733" s="19">
        <v>2306</v>
      </c>
      <c r="G733" s="19">
        <v>7689</v>
      </c>
      <c r="H733" s="19">
        <v>26669</v>
      </c>
      <c r="I733" s="19">
        <v>47107</v>
      </c>
      <c r="J733" s="19">
        <v>18031</v>
      </c>
    </row>
    <row r="734" spans="3:10" x14ac:dyDescent="0.2">
      <c r="C734" s="1" t="s">
        <v>94</v>
      </c>
      <c r="E734" s="36">
        <v>47</v>
      </c>
      <c r="F734" s="19">
        <v>2266</v>
      </c>
      <c r="G734" s="19">
        <v>7729</v>
      </c>
      <c r="H734" s="19">
        <v>37092</v>
      </c>
      <c r="I734" s="19">
        <v>54580</v>
      </c>
      <c r="J734" s="19">
        <v>15854</v>
      </c>
    </row>
    <row r="735" spans="3:10" x14ac:dyDescent="0.2">
      <c r="C735" s="1" t="s">
        <v>95</v>
      </c>
      <c r="E735" s="36">
        <v>47</v>
      </c>
      <c r="F735" s="19">
        <v>2387</v>
      </c>
      <c r="G735" s="19">
        <v>8882</v>
      </c>
      <c r="H735" s="19">
        <v>42624</v>
      </c>
      <c r="I735" s="19">
        <v>61606</v>
      </c>
      <c r="J735" s="19">
        <v>17185</v>
      </c>
    </row>
    <row r="736" spans="3:10" x14ac:dyDescent="0.2">
      <c r="C736" s="1" t="s">
        <v>96</v>
      </c>
      <c r="E736" s="36">
        <v>41</v>
      </c>
      <c r="F736" s="19">
        <v>2148</v>
      </c>
      <c r="G736" s="19">
        <v>8018</v>
      </c>
      <c r="H736" s="19">
        <v>38274</v>
      </c>
      <c r="I736" s="19">
        <v>59526</v>
      </c>
      <c r="J736" s="19">
        <v>17700</v>
      </c>
    </row>
    <row r="737" spans="2:10" x14ac:dyDescent="0.2">
      <c r="B737" s="34"/>
      <c r="C737" s="4" t="s">
        <v>371</v>
      </c>
      <c r="D737" s="34"/>
      <c r="E737" s="50">
        <v>41</v>
      </c>
      <c r="F737" s="51">
        <v>2226</v>
      </c>
      <c r="G737" s="51">
        <v>8103</v>
      </c>
      <c r="H737" s="51">
        <v>44013</v>
      </c>
      <c r="I737" s="51">
        <v>65055</v>
      </c>
      <c r="J737" s="51">
        <v>18209</v>
      </c>
    </row>
    <row r="738" spans="2:10" ht="18" thickBot="1" x14ac:dyDescent="0.25">
      <c r="B738" s="5"/>
      <c r="C738" s="5"/>
      <c r="D738" s="5"/>
      <c r="E738" s="38"/>
      <c r="F738" s="5"/>
      <c r="G738" s="5"/>
      <c r="H738" s="5"/>
      <c r="I738" s="5"/>
      <c r="J738" s="5"/>
    </row>
    <row r="739" spans="2:10" x14ac:dyDescent="0.2">
      <c r="E739" s="9"/>
      <c r="F739" s="3"/>
      <c r="G739" s="3"/>
      <c r="H739" s="3"/>
      <c r="I739" s="3"/>
      <c r="J739" s="3"/>
    </row>
    <row r="740" spans="2:10" x14ac:dyDescent="0.2">
      <c r="E740" s="6"/>
      <c r="F740" s="7"/>
      <c r="G740" s="8" t="s">
        <v>132</v>
      </c>
      <c r="H740" s="7"/>
      <c r="I740" s="7"/>
      <c r="J740" s="7"/>
    </row>
    <row r="741" spans="2:10" x14ac:dyDescent="0.2">
      <c r="E741" s="9"/>
      <c r="F741" s="9"/>
      <c r="G741" s="9"/>
      <c r="H741" s="10" t="s">
        <v>50</v>
      </c>
      <c r="I741" s="10" t="s">
        <v>51</v>
      </c>
      <c r="J741" s="10" t="s">
        <v>76</v>
      </c>
    </row>
    <row r="742" spans="2:10" x14ac:dyDescent="0.2">
      <c r="B742" s="7"/>
      <c r="C742" s="7"/>
      <c r="D742" s="7"/>
      <c r="E742" s="12" t="s">
        <v>53</v>
      </c>
      <c r="F742" s="12" t="s">
        <v>54</v>
      </c>
      <c r="G742" s="12" t="s">
        <v>55</v>
      </c>
      <c r="H742" s="13" t="s">
        <v>56</v>
      </c>
      <c r="I742" s="13" t="s">
        <v>57</v>
      </c>
      <c r="J742" s="13" t="s">
        <v>58</v>
      </c>
    </row>
    <row r="743" spans="2:10" x14ac:dyDescent="0.2">
      <c r="E743" s="9"/>
      <c r="F743" s="15" t="s">
        <v>17</v>
      </c>
      <c r="G743" s="15" t="s">
        <v>77</v>
      </c>
      <c r="H743" s="15" t="s">
        <v>77</v>
      </c>
      <c r="I743" s="15" t="s">
        <v>77</v>
      </c>
      <c r="J743" s="15" t="s">
        <v>77</v>
      </c>
    </row>
    <row r="744" spans="2:10" x14ac:dyDescent="0.2">
      <c r="C744" s="1" t="s">
        <v>78</v>
      </c>
      <c r="E744" s="36">
        <v>81</v>
      </c>
      <c r="F744" s="19">
        <v>1136</v>
      </c>
      <c r="G744" s="19">
        <f>2698+0.4</f>
        <v>2698.4</v>
      </c>
      <c r="H744" s="19">
        <f>5991+0.4</f>
        <v>5991.4</v>
      </c>
      <c r="I744" s="19">
        <f>13655+0.4</f>
        <v>13655.4</v>
      </c>
      <c r="J744" s="19">
        <f>6759+0.4</f>
        <v>6759.4</v>
      </c>
    </row>
    <row r="745" spans="2:10" x14ac:dyDescent="0.2">
      <c r="C745" s="1" t="s">
        <v>79</v>
      </c>
      <c r="E745" s="36">
        <v>82</v>
      </c>
      <c r="F745" s="19">
        <v>1058</v>
      </c>
      <c r="G745" s="19">
        <f>2480+0.4</f>
        <v>2480.4</v>
      </c>
      <c r="H745" s="19">
        <f>6035+0.4</f>
        <v>6035.4</v>
      </c>
      <c r="I745" s="19">
        <f>11745+0.4</f>
        <v>11745.4</v>
      </c>
      <c r="J745" s="19">
        <v>5472</v>
      </c>
    </row>
    <row r="746" spans="2:10" x14ac:dyDescent="0.2">
      <c r="C746" s="1" t="s">
        <v>80</v>
      </c>
      <c r="E746" s="36">
        <v>71</v>
      </c>
      <c r="F746" s="19">
        <v>1032</v>
      </c>
      <c r="G746" s="19">
        <v>2533</v>
      </c>
      <c r="H746" s="19">
        <v>8856</v>
      </c>
      <c r="I746" s="19">
        <v>15009</v>
      </c>
      <c r="J746" s="19">
        <v>8047</v>
      </c>
    </row>
    <row r="747" spans="2:10" x14ac:dyDescent="0.2">
      <c r="C747" s="1" t="s">
        <v>81</v>
      </c>
      <c r="E747" s="36">
        <v>49</v>
      </c>
      <c r="F747" s="19">
        <v>1039</v>
      </c>
      <c r="G747" s="19">
        <v>3026</v>
      </c>
      <c r="H747" s="19">
        <v>9969</v>
      </c>
      <c r="I747" s="19">
        <v>23299</v>
      </c>
      <c r="J747" s="19">
        <v>12701</v>
      </c>
    </row>
    <row r="748" spans="2:10" x14ac:dyDescent="0.2">
      <c r="C748" s="1" t="s">
        <v>82</v>
      </c>
      <c r="E748" s="36">
        <v>58</v>
      </c>
      <c r="F748" s="19">
        <v>1126</v>
      </c>
      <c r="G748" s="19">
        <v>3377</v>
      </c>
      <c r="H748" s="19">
        <v>8516</v>
      </c>
      <c r="I748" s="19">
        <v>20802</v>
      </c>
      <c r="J748" s="19">
        <v>10439</v>
      </c>
    </row>
    <row r="749" spans="2:10" x14ac:dyDescent="0.2">
      <c r="E749" s="9"/>
    </row>
    <row r="750" spans="2:10" x14ac:dyDescent="0.2">
      <c r="C750" s="1" t="s">
        <v>83</v>
      </c>
      <c r="E750" s="36">
        <v>55</v>
      </c>
      <c r="F750" s="19">
        <v>1043</v>
      </c>
      <c r="G750" s="19">
        <v>3321</v>
      </c>
      <c r="H750" s="19">
        <v>7644</v>
      </c>
      <c r="I750" s="19">
        <v>16768</v>
      </c>
      <c r="J750" s="19">
        <v>9323</v>
      </c>
    </row>
    <row r="751" spans="2:10" x14ac:dyDescent="0.2">
      <c r="C751" s="1" t="s">
        <v>84</v>
      </c>
      <c r="E751" s="36">
        <v>50</v>
      </c>
      <c r="F751" s="19">
        <v>961</v>
      </c>
      <c r="G751" s="19">
        <v>3068</v>
      </c>
      <c r="H751" s="19">
        <v>5742</v>
      </c>
      <c r="I751" s="19">
        <v>13166</v>
      </c>
      <c r="J751" s="19">
        <v>6695</v>
      </c>
    </row>
    <row r="752" spans="2:10" x14ac:dyDescent="0.2">
      <c r="C752" s="1" t="s">
        <v>85</v>
      </c>
      <c r="E752" s="36">
        <v>44</v>
      </c>
      <c r="F752" s="19">
        <v>847</v>
      </c>
      <c r="G752" s="19">
        <v>3031</v>
      </c>
      <c r="H752" s="19">
        <v>5070</v>
      </c>
      <c r="I752" s="19">
        <v>10689</v>
      </c>
      <c r="J752" s="19">
        <v>5544</v>
      </c>
    </row>
    <row r="753" spans="2:10" x14ac:dyDescent="0.2">
      <c r="C753" s="1" t="s">
        <v>86</v>
      </c>
      <c r="E753" s="36">
        <v>49</v>
      </c>
      <c r="F753" s="19">
        <v>784</v>
      </c>
      <c r="G753" s="19">
        <v>3133</v>
      </c>
      <c r="H753" s="19">
        <v>5185</v>
      </c>
      <c r="I753" s="19">
        <v>11038</v>
      </c>
      <c r="J753" s="19">
        <v>5454</v>
      </c>
    </row>
    <row r="754" spans="2:10" x14ac:dyDescent="0.2">
      <c r="C754" s="1" t="s">
        <v>87</v>
      </c>
      <c r="E754" s="36">
        <v>45</v>
      </c>
      <c r="F754" s="19">
        <v>779</v>
      </c>
      <c r="G754" s="19">
        <v>2680</v>
      </c>
      <c r="H754" s="19">
        <v>4403</v>
      </c>
      <c r="I754" s="19">
        <v>9514</v>
      </c>
      <c r="J754" s="19">
        <v>4751</v>
      </c>
    </row>
    <row r="755" spans="2:10" x14ac:dyDescent="0.2">
      <c r="E755" s="9"/>
    </row>
    <row r="756" spans="2:10" x14ac:dyDescent="0.2">
      <c r="C756" s="1" t="s">
        <v>88</v>
      </c>
      <c r="E756" s="36">
        <v>46</v>
      </c>
      <c r="F756" s="19">
        <v>727</v>
      </c>
      <c r="G756" s="19">
        <v>3565</v>
      </c>
      <c r="H756" s="19">
        <v>4457</v>
      </c>
      <c r="I756" s="19">
        <v>10534</v>
      </c>
      <c r="J756" s="19">
        <v>5870</v>
      </c>
    </row>
    <row r="757" spans="2:10" x14ac:dyDescent="0.2">
      <c r="C757" s="1" t="s">
        <v>89</v>
      </c>
      <c r="E757" s="36">
        <v>41</v>
      </c>
      <c r="F757" s="19">
        <v>707</v>
      </c>
      <c r="G757" s="19">
        <v>2493</v>
      </c>
      <c r="H757" s="19">
        <v>3018</v>
      </c>
      <c r="I757" s="19">
        <v>7820</v>
      </c>
      <c r="J757" s="19">
        <v>4504</v>
      </c>
    </row>
    <row r="758" spans="2:10" x14ac:dyDescent="0.2">
      <c r="C758" s="1" t="s">
        <v>90</v>
      </c>
      <c r="E758" s="36">
        <v>45</v>
      </c>
      <c r="F758" s="19">
        <v>784</v>
      </c>
      <c r="G758" s="19">
        <v>2993</v>
      </c>
      <c r="H758" s="19">
        <v>6457</v>
      </c>
      <c r="I758" s="19">
        <v>12528</v>
      </c>
      <c r="J758" s="19">
        <v>5931</v>
      </c>
    </row>
    <row r="759" spans="2:10" x14ac:dyDescent="0.2">
      <c r="C759" s="1" t="s">
        <v>91</v>
      </c>
      <c r="E759" s="36">
        <v>37</v>
      </c>
      <c r="F759" s="19">
        <v>771</v>
      </c>
      <c r="G759" s="19">
        <v>3351</v>
      </c>
      <c r="H759" s="19">
        <v>6899</v>
      </c>
      <c r="I759" s="19">
        <v>14416</v>
      </c>
      <c r="J759" s="19">
        <v>8808</v>
      </c>
    </row>
    <row r="760" spans="2:10" x14ac:dyDescent="0.2">
      <c r="C760" s="1" t="s">
        <v>92</v>
      </c>
      <c r="E760" s="36">
        <v>31</v>
      </c>
      <c r="F760" s="19">
        <v>699</v>
      </c>
      <c r="G760" s="19">
        <v>3047</v>
      </c>
      <c r="H760" s="19">
        <v>10289</v>
      </c>
      <c r="I760" s="19">
        <v>18261</v>
      </c>
      <c r="J760" s="19">
        <v>5604</v>
      </c>
    </row>
    <row r="761" spans="2:10" x14ac:dyDescent="0.2">
      <c r="E761" s="9"/>
    </row>
    <row r="762" spans="2:10" x14ac:dyDescent="0.2">
      <c r="C762" s="1" t="s">
        <v>93</v>
      </c>
      <c r="E762" s="36">
        <v>38</v>
      </c>
      <c r="F762" s="19">
        <v>607</v>
      </c>
      <c r="G762" s="19">
        <v>2794</v>
      </c>
      <c r="H762" s="19">
        <v>8294</v>
      </c>
      <c r="I762" s="19">
        <v>12746</v>
      </c>
      <c r="J762" s="19">
        <v>6279</v>
      </c>
    </row>
    <row r="763" spans="2:10" x14ac:dyDescent="0.2">
      <c r="C763" s="1" t="s">
        <v>94</v>
      </c>
      <c r="E763" s="36">
        <v>35</v>
      </c>
      <c r="F763" s="19">
        <v>571</v>
      </c>
      <c r="G763" s="19">
        <v>2794</v>
      </c>
      <c r="H763" s="19">
        <v>6925</v>
      </c>
      <c r="I763" s="19">
        <v>10553</v>
      </c>
      <c r="J763" s="19">
        <v>5218</v>
      </c>
    </row>
    <row r="764" spans="2:10" x14ac:dyDescent="0.2">
      <c r="C764" s="1" t="s">
        <v>95</v>
      </c>
      <c r="E764" s="36">
        <v>35</v>
      </c>
      <c r="F764" s="19">
        <v>763</v>
      </c>
      <c r="G764" s="19">
        <v>3373</v>
      </c>
      <c r="H764" s="19">
        <v>7818</v>
      </c>
      <c r="I764" s="19">
        <v>12302</v>
      </c>
      <c r="J764" s="19">
        <v>4480</v>
      </c>
    </row>
    <row r="765" spans="2:10" x14ac:dyDescent="0.2">
      <c r="C765" s="1" t="s">
        <v>96</v>
      </c>
      <c r="E765" s="36">
        <v>34</v>
      </c>
      <c r="F765" s="19">
        <v>748</v>
      </c>
      <c r="G765" s="19">
        <v>3682</v>
      </c>
      <c r="H765" s="19">
        <v>6773</v>
      </c>
      <c r="I765" s="19">
        <v>12419</v>
      </c>
      <c r="J765" s="19">
        <v>5097</v>
      </c>
    </row>
    <row r="766" spans="2:10" x14ac:dyDescent="0.2">
      <c r="B766" s="34"/>
      <c r="C766" s="4" t="s">
        <v>363</v>
      </c>
      <c r="D766" s="34"/>
      <c r="E766" s="50">
        <v>34</v>
      </c>
      <c r="F766" s="51">
        <v>743</v>
      </c>
      <c r="G766" s="51">
        <v>3431</v>
      </c>
      <c r="H766" s="51">
        <v>7808</v>
      </c>
      <c r="I766" s="51">
        <v>14732</v>
      </c>
      <c r="J766" s="51">
        <v>6561</v>
      </c>
    </row>
    <row r="767" spans="2:10" ht="18" thickBot="1" x14ac:dyDescent="0.25">
      <c r="B767" s="5"/>
      <c r="C767" s="5"/>
      <c r="D767" s="5"/>
      <c r="E767" s="38"/>
      <c r="F767" s="5"/>
      <c r="G767" s="5"/>
      <c r="H767" s="5"/>
      <c r="I767" s="5"/>
      <c r="J767" s="5"/>
    </row>
    <row r="768" spans="2:10" x14ac:dyDescent="0.2">
      <c r="E768" s="1" t="s">
        <v>70</v>
      </c>
      <c r="H768" s="1" t="s">
        <v>98</v>
      </c>
    </row>
    <row r="769" spans="1:10" x14ac:dyDescent="0.2">
      <c r="H769" s="1" t="s">
        <v>105</v>
      </c>
    </row>
    <row r="771" spans="1:10" x14ac:dyDescent="0.2">
      <c r="A771" s="1"/>
    </row>
    <row r="772" spans="1:10" x14ac:dyDescent="0.2">
      <c r="A772" s="1"/>
    </row>
    <row r="777" spans="1:10" x14ac:dyDescent="0.2">
      <c r="F777" s="4" t="s">
        <v>100</v>
      </c>
    </row>
    <row r="778" spans="1:10" x14ac:dyDescent="0.2">
      <c r="F778" s="1" t="s">
        <v>101</v>
      </c>
    </row>
    <row r="779" spans="1:10" ht="18" thickBot="1" x14ac:dyDescent="0.25">
      <c r="B779" s="5"/>
      <c r="C779" s="5"/>
      <c r="D779" s="5"/>
      <c r="E779" s="5"/>
      <c r="F779" s="35" t="s">
        <v>102</v>
      </c>
      <c r="G779" s="5"/>
      <c r="H779" s="5"/>
      <c r="I779" s="5"/>
      <c r="J779" s="5"/>
    </row>
    <row r="780" spans="1:10" x14ac:dyDescent="0.2">
      <c r="E780" s="9"/>
      <c r="F780" s="3"/>
      <c r="G780" s="3"/>
      <c r="H780" s="3"/>
      <c r="I780" s="3"/>
      <c r="J780" s="3"/>
    </row>
    <row r="781" spans="1:10" x14ac:dyDescent="0.2">
      <c r="E781" s="6"/>
      <c r="F781" s="7"/>
      <c r="G781" s="8" t="s">
        <v>133</v>
      </c>
      <c r="H781" s="7"/>
      <c r="I781" s="7"/>
      <c r="J781" s="7"/>
    </row>
    <row r="782" spans="1:10" x14ac:dyDescent="0.2">
      <c r="E782" s="9"/>
      <c r="F782" s="9"/>
      <c r="G782" s="9"/>
      <c r="H782" s="10" t="s">
        <v>50</v>
      </c>
      <c r="I782" s="10" t="s">
        <v>51</v>
      </c>
      <c r="J782" s="10" t="s">
        <v>76</v>
      </c>
    </row>
    <row r="783" spans="1:10" x14ac:dyDescent="0.2">
      <c r="B783" s="7"/>
      <c r="C783" s="7"/>
      <c r="D783" s="7"/>
      <c r="E783" s="12" t="s">
        <v>53</v>
      </c>
      <c r="F783" s="12" t="s">
        <v>54</v>
      </c>
      <c r="G783" s="12" t="s">
        <v>55</v>
      </c>
      <c r="H783" s="13" t="s">
        <v>56</v>
      </c>
      <c r="I783" s="13" t="s">
        <v>57</v>
      </c>
      <c r="J783" s="13" t="s">
        <v>58</v>
      </c>
    </row>
    <row r="784" spans="1:10" x14ac:dyDescent="0.2">
      <c r="E784" s="9"/>
      <c r="F784" s="15" t="s">
        <v>17</v>
      </c>
      <c r="G784" s="15" t="s">
        <v>77</v>
      </c>
      <c r="H784" s="15" t="s">
        <v>77</v>
      </c>
      <c r="I784" s="15" t="s">
        <v>77</v>
      </c>
      <c r="J784" s="15" t="s">
        <v>77</v>
      </c>
    </row>
    <row r="785" spans="3:10" x14ac:dyDescent="0.2">
      <c r="C785" s="1" t="s">
        <v>78</v>
      </c>
      <c r="E785" s="36">
        <v>16</v>
      </c>
      <c r="F785" s="19">
        <v>540</v>
      </c>
      <c r="G785" s="19">
        <f>1193+0.4</f>
        <v>1193.4000000000001</v>
      </c>
      <c r="H785" s="19">
        <f>2106+0.4</f>
        <v>2106.4</v>
      </c>
      <c r="I785" s="19">
        <f>5261+0.4</f>
        <v>5261.4</v>
      </c>
      <c r="J785" s="19">
        <f>3153+0.4</f>
        <v>3153.4</v>
      </c>
    </row>
    <row r="786" spans="3:10" x14ac:dyDescent="0.2">
      <c r="C786" s="1" t="s">
        <v>79</v>
      </c>
      <c r="E786" s="36">
        <v>17</v>
      </c>
      <c r="F786" s="19">
        <v>588</v>
      </c>
      <c r="G786" s="19">
        <f>1344+0.4</f>
        <v>1344.4</v>
      </c>
      <c r="H786" s="19">
        <f>3194+0.4</f>
        <v>3194.4</v>
      </c>
      <c r="I786" s="19">
        <f>6273+0.4</f>
        <v>6273.4</v>
      </c>
      <c r="J786" s="19">
        <v>3066</v>
      </c>
    </row>
    <row r="787" spans="3:10" x14ac:dyDescent="0.2">
      <c r="C787" s="1" t="s">
        <v>80</v>
      </c>
      <c r="E787" s="36">
        <v>17</v>
      </c>
      <c r="F787" s="19">
        <v>615</v>
      </c>
      <c r="G787" s="19">
        <v>1574</v>
      </c>
      <c r="H787" s="19">
        <v>4128</v>
      </c>
      <c r="I787" s="19">
        <v>9697</v>
      </c>
      <c r="J787" s="19">
        <v>5671</v>
      </c>
    </row>
    <row r="788" spans="3:10" x14ac:dyDescent="0.2">
      <c r="C788" s="1" t="s">
        <v>81</v>
      </c>
      <c r="E788" s="36">
        <v>16</v>
      </c>
      <c r="F788" s="19">
        <v>754</v>
      </c>
      <c r="G788" s="19">
        <v>2064</v>
      </c>
      <c r="H788" s="19">
        <v>9538</v>
      </c>
      <c r="I788" s="19">
        <v>19510</v>
      </c>
      <c r="J788" s="19">
        <v>10789</v>
      </c>
    </row>
    <row r="789" spans="3:10" x14ac:dyDescent="0.2">
      <c r="C789" s="1" t="s">
        <v>82</v>
      </c>
      <c r="E789" s="36">
        <v>16</v>
      </c>
      <c r="F789" s="19">
        <v>722</v>
      </c>
      <c r="G789" s="19">
        <v>2195</v>
      </c>
      <c r="H789" s="19">
        <v>10997</v>
      </c>
      <c r="I789" s="19">
        <v>23455</v>
      </c>
      <c r="J789" s="19">
        <v>11996</v>
      </c>
    </row>
    <row r="790" spans="3:10" x14ac:dyDescent="0.2">
      <c r="E790" s="9"/>
    </row>
    <row r="791" spans="3:10" x14ac:dyDescent="0.2">
      <c r="C791" s="1" t="s">
        <v>83</v>
      </c>
      <c r="E791" s="36">
        <v>20</v>
      </c>
      <c r="F791" s="19">
        <v>840</v>
      </c>
      <c r="G791" s="19">
        <v>2347</v>
      </c>
      <c r="H791" s="19">
        <v>12617</v>
      </c>
      <c r="I791" s="19">
        <v>27531</v>
      </c>
      <c r="J791" s="19">
        <v>14238</v>
      </c>
    </row>
    <row r="792" spans="3:10" x14ac:dyDescent="0.2">
      <c r="C792" s="1" t="s">
        <v>84</v>
      </c>
      <c r="E792" s="36">
        <v>17</v>
      </c>
      <c r="F792" s="19">
        <v>917</v>
      </c>
      <c r="G792" s="19">
        <v>2746</v>
      </c>
      <c r="H792" s="19">
        <v>15592</v>
      </c>
      <c r="I792" s="19">
        <v>27127</v>
      </c>
      <c r="J792" s="19">
        <v>11449</v>
      </c>
    </row>
    <row r="793" spans="3:10" x14ac:dyDescent="0.2">
      <c r="C793" s="1" t="s">
        <v>85</v>
      </c>
      <c r="E793" s="36">
        <v>16</v>
      </c>
      <c r="F793" s="19">
        <v>1051</v>
      </c>
      <c r="G793" s="19">
        <v>3387</v>
      </c>
      <c r="H793" s="19">
        <v>21133</v>
      </c>
      <c r="I793" s="19">
        <v>35261</v>
      </c>
      <c r="J793" s="19">
        <v>14817</v>
      </c>
    </row>
    <row r="794" spans="3:10" x14ac:dyDescent="0.2">
      <c r="C794" s="1" t="s">
        <v>86</v>
      </c>
      <c r="E794" s="36">
        <v>18</v>
      </c>
      <c r="F794" s="19">
        <v>1151</v>
      </c>
      <c r="G794" s="19">
        <v>4010</v>
      </c>
      <c r="H794" s="19">
        <v>16497</v>
      </c>
      <c r="I794" s="19">
        <v>32807</v>
      </c>
      <c r="J794" s="19">
        <v>15455</v>
      </c>
    </row>
    <row r="795" spans="3:10" x14ac:dyDescent="0.2">
      <c r="C795" s="1" t="s">
        <v>87</v>
      </c>
      <c r="E795" s="36">
        <v>15</v>
      </c>
      <c r="F795" s="19">
        <v>1106</v>
      </c>
      <c r="G795" s="19">
        <v>3905</v>
      </c>
      <c r="H795" s="19">
        <v>15953</v>
      </c>
      <c r="I795" s="19">
        <v>32308</v>
      </c>
      <c r="J795" s="19">
        <v>15063</v>
      </c>
    </row>
    <row r="796" spans="3:10" x14ac:dyDescent="0.2">
      <c r="E796" s="9"/>
    </row>
    <row r="797" spans="3:10" x14ac:dyDescent="0.2">
      <c r="C797" s="1" t="s">
        <v>88</v>
      </c>
      <c r="E797" s="36">
        <v>20</v>
      </c>
      <c r="F797" s="19">
        <v>1270</v>
      </c>
      <c r="G797" s="19">
        <v>3837</v>
      </c>
      <c r="H797" s="19">
        <v>20439</v>
      </c>
      <c r="I797" s="19">
        <v>35236</v>
      </c>
      <c r="J797" s="19">
        <v>11576</v>
      </c>
    </row>
    <row r="798" spans="3:10" x14ac:dyDescent="0.2">
      <c r="C798" s="1" t="s">
        <v>89</v>
      </c>
      <c r="E798" s="36">
        <v>19</v>
      </c>
      <c r="F798" s="19">
        <v>1404</v>
      </c>
      <c r="G798" s="19">
        <v>4607</v>
      </c>
      <c r="H798" s="19">
        <v>18643</v>
      </c>
      <c r="I798" s="19">
        <v>37381</v>
      </c>
      <c r="J798" s="19">
        <v>18683</v>
      </c>
    </row>
    <row r="799" spans="3:10" x14ac:dyDescent="0.2">
      <c r="C799" s="1" t="s">
        <v>90</v>
      </c>
      <c r="E799" s="36">
        <v>19</v>
      </c>
      <c r="F799" s="19">
        <v>1660</v>
      </c>
      <c r="G799" s="19">
        <v>5901</v>
      </c>
      <c r="H799" s="19">
        <v>19890</v>
      </c>
      <c r="I799" s="19">
        <v>41624</v>
      </c>
      <c r="J799" s="19">
        <v>22596</v>
      </c>
    </row>
    <row r="800" spans="3:10" x14ac:dyDescent="0.2">
      <c r="C800" s="1" t="s">
        <v>91</v>
      </c>
      <c r="E800" s="36">
        <v>18</v>
      </c>
      <c r="F800" s="19">
        <v>1363</v>
      </c>
      <c r="G800" s="19">
        <v>5915</v>
      </c>
      <c r="H800" s="19">
        <v>21647</v>
      </c>
      <c r="I800" s="19">
        <v>45690</v>
      </c>
      <c r="J800" s="19">
        <v>23837</v>
      </c>
    </row>
    <row r="801" spans="2:10" x14ac:dyDescent="0.2">
      <c r="C801" s="1" t="s">
        <v>92</v>
      </c>
      <c r="E801" s="36">
        <v>16</v>
      </c>
      <c r="F801" s="19">
        <v>1397</v>
      </c>
      <c r="G801" s="19">
        <v>5931</v>
      </c>
      <c r="H801" s="19">
        <v>21328</v>
      </c>
      <c r="I801" s="19">
        <v>44169</v>
      </c>
      <c r="J801" s="19">
        <v>20772</v>
      </c>
    </row>
    <row r="802" spans="2:10" x14ac:dyDescent="0.2">
      <c r="E802" s="9"/>
    </row>
    <row r="803" spans="2:10" x14ac:dyDescent="0.2">
      <c r="C803" s="1" t="s">
        <v>93</v>
      </c>
      <c r="E803" s="36">
        <v>16</v>
      </c>
      <c r="F803" s="19">
        <v>1390</v>
      </c>
      <c r="G803" s="19">
        <v>5897</v>
      </c>
      <c r="H803" s="19">
        <v>22411</v>
      </c>
      <c r="I803" s="19">
        <v>46892</v>
      </c>
      <c r="J803" s="19">
        <v>19450</v>
      </c>
    </row>
    <row r="804" spans="2:10" x14ac:dyDescent="0.2">
      <c r="C804" s="1" t="s">
        <v>94</v>
      </c>
      <c r="E804" s="36">
        <v>17</v>
      </c>
      <c r="F804" s="19">
        <v>1387</v>
      </c>
      <c r="G804" s="19">
        <v>6559</v>
      </c>
      <c r="H804" s="19">
        <v>20408</v>
      </c>
      <c r="I804" s="19">
        <v>41664</v>
      </c>
      <c r="J804" s="19">
        <v>18182</v>
      </c>
    </row>
    <row r="805" spans="2:10" x14ac:dyDescent="0.2">
      <c r="C805" s="1" t="s">
        <v>95</v>
      </c>
      <c r="E805" s="36">
        <v>16</v>
      </c>
      <c r="F805" s="19">
        <v>1798</v>
      </c>
      <c r="G805" s="19">
        <v>6623</v>
      </c>
      <c r="H805" s="19">
        <v>20876</v>
      </c>
      <c r="I805" s="19">
        <v>44733</v>
      </c>
      <c r="J805" s="19">
        <v>21205</v>
      </c>
    </row>
    <row r="806" spans="2:10" x14ac:dyDescent="0.2">
      <c r="C806" s="1" t="s">
        <v>96</v>
      </c>
      <c r="E806" s="36">
        <v>16</v>
      </c>
      <c r="F806" s="19">
        <v>1795</v>
      </c>
      <c r="G806" s="19">
        <v>7158</v>
      </c>
      <c r="H806" s="19">
        <v>20489</v>
      </c>
      <c r="I806" s="19">
        <v>47075</v>
      </c>
      <c r="J806" s="19">
        <v>23622</v>
      </c>
    </row>
    <row r="807" spans="2:10" x14ac:dyDescent="0.2">
      <c r="B807" s="34"/>
      <c r="C807" s="4" t="s">
        <v>363</v>
      </c>
      <c r="D807" s="34"/>
      <c r="E807" s="50">
        <v>15</v>
      </c>
      <c r="F807" s="51">
        <v>1769</v>
      </c>
      <c r="G807" s="51">
        <v>7778</v>
      </c>
      <c r="H807" s="51">
        <v>26036</v>
      </c>
      <c r="I807" s="51">
        <v>60482</v>
      </c>
      <c r="J807" s="51">
        <v>31554</v>
      </c>
    </row>
    <row r="808" spans="2:10" ht="18" thickBot="1" x14ac:dyDescent="0.25">
      <c r="B808" s="5"/>
      <c r="C808" s="5"/>
      <c r="D808" s="5"/>
      <c r="E808" s="38"/>
      <c r="F808" s="5"/>
      <c r="G808" s="5"/>
      <c r="H808" s="5"/>
      <c r="I808" s="5"/>
      <c r="J808" s="5"/>
    </row>
    <row r="809" spans="2:10" x14ac:dyDescent="0.2">
      <c r="E809" s="9"/>
      <c r="F809" s="3"/>
      <c r="G809" s="3"/>
      <c r="H809" s="3"/>
      <c r="I809" s="3"/>
      <c r="J809" s="3"/>
    </row>
    <row r="810" spans="2:10" x14ac:dyDescent="0.2">
      <c r="E810" s="13" t="s">
        <v>134</v>
      </c>
      <c r="F810" s="7"/>
      <c r="G810" s="7"/>
      <c r="H810" s="7"/>
      <c r="I810" s="7"/>
      <c r="J810" s="7"/>
    </row>
    <row r="811" spans="2:10" x14ac:dyDescent="0.2">
      <c r="E811" s="9"/>
      <c r="F811" s="9"/>
      <c r="G811" s="9"/>
      <c r="H811" s="10" t="s">
        <v>50</v>
      </c>
      <c r="I811" s="10" t="s">
        <v>51</v>
      </c>
      <c r="J811" s="10" t="s">
        <v>76</v>
      </c>
    </row>
    <row r="812" spans="2:10" x14ac:dyDescent="0.2">
      <c r="B812" s="7"/>
      <c r="C812" s="7"/>
      <c r="D812" s="7"/>
      <c r="E812" s="12" t="s">
        <v>53</v>
      </c>
      <c r="F812" s="12" t="s">
        <v>54</v>
      </c>
      <c r="G812" s="12" t="s">
        <v>55</v>
      </c>
      <c r="H812" s="13" t="s">
        <v>56</v>
      </c>
      <c r="I812" s="13" t="s">
        <v>57</v>
      </c>
      <c r="J812" s="13" t="s">
        <v>58</v>
      </c>
    </row>
    <row r="813" spans="2:10" x14ac:dyDescent="0.2">
      <c r="E813" s="9"/>
      <c r="F813" s="15" t="s">
        <v>17</v>
      </c>
      <c r="G813" s="15" t="s">
        <v>77</v>
      </c>
      <c r="H813" s="15" t="s">
        <v>77</v>
      </c>
      <c r="I813" s="15" t="s">
        <v>77</v>
      </c>
      <c r="J813" s="15" t="s">
        <v>77</v>
      </c>
    </row>
    <row r="814" spans="2:10" x14ac:dyDescent="0.2">
      <c r="C814" s="1" t="s">
        <v>78</v>
      </c>
      <c r="E814" s="36">
        <v>858</v>
      </c>
      <c r="F814" s="19">
        <v>5290</v>
      </c>
      <c r="G814" s="19">
        <f>6429+0.4</f>
        <v>6429.4</v>
      </c>
      <c r="H814" s="19">
        <f>22244+0.4</f>
        <v>22244.400000000001</v>
      </c>
      <c r="I814" s="19">
        <f>36954+0.4</f>
        <v>36954.400000000001</v>
      </c>
      <c r="J814" s="19">
        <f>14392+0.4</f>
        <v>14392.4</v>
      </c>
    </row>
    <row r="815" spans="2:10" x14ac:dyDescent="0.2">
      <c r="C815" s="1" t="s">
        <v>79</v>
      </c>
      <c r="E815" s="36">
        <v>845</v>
      </c>
      <c r="F815" s="19">
        <v>5338</v>
      </c>
      <c r="G815" s="19">
        <f>6940+0.4</f>
        <v>6940.4</v>
      </c>
      <c r="H815" s="19">
        <f>26246+0.4</f>
        <v>26246.400000000001</v>
      </c>
      <c r="I815" s="19">
        <f>43285+0.4</f>
        <v>43285.4</v>
      </c>
      <c r="J815" s="19">
        <v>16382</v>
      </c>
    </row>
    <row r="816" spans="2:10" x14ac:dyDescent="0.2">
      <c r="C816" s="1" t="s">
        <v>80</v>
      </c>
      <c r="E816" s="36">
        <v>819</v>
      </c>
      <c r="F816" s="19">
        <v>5223</v>
      </c>
      <c r="G816" s="19">
        <v>7524</v>
      </c>
      <c r="H816" s="19">
        <v>27929</v>
      </c>
      <c r="I816" s="19">
        <v>48384</v>
      </c>
      <c r="J816" s="19">
        <v>19878</v>
      </c>
    </row>
    <row r="817" spans="3:10" x14ac:dyDescent="0.2">
      <c r="C817" s="1" t="s">
        <v>81</v>
      </c>
      <c r="E817" s="36">
        <v>390</v>
      </c>
      <c r="F817" s="19">
        <v>4775</v>
      </c>
      <c r="G817" s="19">
        <v>8756</v>
      </c>
      <c r="H817" s="19">
        <v>30425</v>
      </c>
      <c r="I817" s="19">
        <v>52620</v>
      </c>
      <c r="J817" s="19">
        <v>21378</v>
      </c>
    </row>
    <row r="818" spans="3:10" x14ac:dyDescent="0.2">
      <c r="C818" s="1" t="s">
        <v>82</v>
      </c>
      <c r="E818" s="36">
        <v>400</v>
      </c>
      <c r="F818" s="19">
        <v>4729</v>
      </c>
      <c r="G818" s="19">
        <v>8577</v>
      </c>
      <c r="H818" s="19">
        <v>28874</v>
      </c>
      <c r="I818" s="19">
        <v>48629</v>
      </c>
      <c r="J818" s="19">
        <v>18962</v>
      </c>
    </row>
    <row r="819" spans="3:10" x14ac:dyDescent="0.2">
      <c r="E819" s="9"/>
    </row>
    <row r="820" spans="3:10" x14ac:dyDescent="0.2">
      <c r="C820" s="1" t="s">
        <v>83</v>
      </c>
      <c r="E820" s="36">
        <v>390</v>
      </c>
      <c r="F820" s="19">
        <v>4717</v>
      </c>
      <c r="G820" s="19">
        <v>8860</v>
      </c>
      <c r="H820" s="19">
        <v>31968</v>
      </c>
      <c r="I820" s="19">
        <v>53761</v>
      </c>
      <c r="J820" s="19">
        <v>20922</v>
      </c>
    </row>
    <row r="821" spans="3:10" x14ac:dyDescent="0.2">
      <c r="C821" s="1" t="s">
        <v>84</v>
      </c>
      <c r="E821" s="36">
        <v>372</v>
      </c>
      <c r="F821" s="19">
        <v>4582</v>
      </c>
      <c r="G821" s="19">
        <v>9261</v>
      </c>
      <c r="H821" s="19">
        <v>33198</v>
      </c>
      <c r="I821" s="19">
        <v>56633</v>
      </c>
      <c r="J821" s="19">
        <v>22844</v>
      </c>
    </row>
    <row r="822" spans="3:10" x14ac:dyDescent="0.2">
      <c r="C822" s="1" t="s">
        <v>85</v>
      </c>
      <c r="E822" s="36">
        <v>241</v>
      </c>
      <c r="F822" s="19">
        <v>2826</v>
      </c>
      <c r="G822" s="19">
        <v>5678</v>
      </c>
      <c r="H822" s="19">
        <v>16923</v>
      </c>
      <c r="I822" s="19">
        <v>29249</v>
      </c>
      <c r="J822" s="19">
        <v>11773</v>
      </c>
    </row>
    <row r="823" spans="3:10" x14ac:dyDescent="0.2">
      <c r="C823" s="1" t="s">
        <v>86</v>
      </c>
      <c r="E823" s="36">
        <v>230</v>
      </c>
      <c r="F823" s="19">
        <v>2812</v>
      </c>
      <c r="G823" s="19">
        <v>5603</v>
      </c>
      <c r="H823" s="19">
        <v>16287</v>
      </c>
      <c r="I823" s="19">
        <v>28876</v>
      </c>
      <c r="J823" s="19">
        <v>12679</v>
      </c>
    </row>
    <row r="824" spans="3:10" x14ac:dyDescent="0.2">
      <c r="C824" s="1" t="s">
        <v>87</v>
      </c>
      <c r="E824" s="36">
        <v>215</v>
      </c>
      <c r="F824" s="19">
        <v>2835</v>
      </c>
      <c r="G824" s="19">
        <v>6149</v>
      </c>
      <c r="H824" s="19">
        <v>14826</v>
      </c>
      <c r="I824" s="19">
        <v>27198</v>
      </c>
      <c r="J824" s="19">
        <v>11482</v>
      </c>
    </row>
    <row r="825" spans="3:10" x14ac:dyDescent="0.2">
      <c r="E825" s="9"/>
    </row>
    <row r="826" spans="3:10" x14ac:dyDescent="0.2">
      <c r="C826" s="1" t="s">
        <v>88</v>
      </c>
      <c r="E826" s="36">
        <v>229</v>
      </c>
      <c r="F826" s="19">
        <v>3106</v>
      </c>
      <c r="G826" s="19">
        <v>6291</v>
      </c>
      <c r="H826" s="19">
        <v>14240</v>
      </c>
      <c r="I826" s="19">
        <v>27877</v>
      </c>
      <c r="J826" s="19">
        <v>13316</v>
      </c>
    </row>
    <row r="827" spans="3:10" x14ac:dyDescent="0.2">
      <c r="C827" s="1" t="s">
        <v>89</v>
      </c>
      <c r="E827" s="36">
        <v>223</v>
      </c>
      <c r="F827" s="19">
        <v>3051</v>
      </c>
      <c r="G827" s="19">
        <v>6629</v>
      </c>
      <c r="H827" s="19">
        <v>14456</v>
      </c>
      <c r="I827" s="19">
        <v>30020</v>
      </c>
      <c r="J827" s="19">
        <v>14799</v>
      </c>
    </row>
    <row r="828" spans="3:10" x14ac:dyDescent="0.2">
      <c r="C828" s="1" t="s">
        <v>90</v>
      </c>
      <c r="E828" s="36">
        <v>236</v>
      </c>
      <c r="F828" s="19">
        <v>3020</v>
      </c>
      <c r="G828" s="19">
        <v>6740</v>
      </c>
      <c r="H828" s="19">
        <v>15116</v>
      </c>
      <c r="I828" s="19">
        <v>32008</v>
      </c>
      <c r="J828" s="19">
        <v>15905</v>
      </c>
    </row>
    <row r="829" spans="3:10" x14ac:dyDescent="0.2">
      <c r="C829" s="1" t="s">
        <v>91</v>
      </c>
      <c r="E829" s="36">
        <v>212</v>
      </c>
      <c r="F829" s="19">
        <v>2894</v>
      </c>
      <c r="G829" s="19">
        <v>6973</v>
      </c>
      <c r="H829" s="19">
        <v>15296</v>
      </c>
      <c r="I829" s="19">
        <v>31484</v>
      </c>
      <c r="J829" s="19">
        <v>15476</v>
      </c>
    </row>
    <row r="830" spans="3:10" x14ac:dyDescent="0.2">
      <c r="C830" s="1" t="s">
        <v>92</v>
      </c>
      <c r="E830" s="36">
        <v>201</v>
      </c>
      <c r="F830" s="19">
        <v>2692</v>
      </c>
      <c r="G830" s="19">
        <v>7044</v>
      </c>
      <c r="H830" s="19">
        <v>15948</v>
      </c>
      <c r="I830" s="19">
        <v>31766</v>
      </c>
      <c r="J830" s="19">
        <v>15032</v>
      </c>
    </row>
    <row r="831" spans="3:10" x14ac:dyDescent="0.2">
      <c r="E831" s="9"/>
    </row>
    <row r="832" spans="3:10" x14ac:dyDescent="0.2">
      <c r="C832" s="1" t="s">
        <v>93</v>
      </c>
      <c r="E832" s="36">
        <v>208</v>
      </c>
      <c r="F832" s="19">
        <v>2705</v>
      </c>
      <c r="G832" s="19">
        <v>7253</v>
      </c>
      <c r="H832" s="19">
        <v>15023</v>
      </c>
      <c r="I832" s="19">
        <v>30876</v>
      </c>
      <c r="J832" s="19">
        <v>14543</v>
      </c>
    </row>
    <row r="833" spans="1:10" x14ac:dyDescent="0.2">
      <c r="C833" s="1" t="s">
        <v>94</v>
      </c>
      <c r="E833" s="36">
        <v>195</v>
      </c>
      <c r="F833" s="19">
        <v>2565</v>
      </c>
      <c r="G833" s="19">
        <v>7019</v>
      </c>
      <c r="H833" s="19">
        <v>14957</v>
      </c>
      <c r="I833" s="19">
        <v>30429</v>
      </c>
      <c r="J833" s="19">
        <v>14252</v>
      </c>
    </row>
    <row r="834" spans="1:10" x14ac:dyDescent="0.2">
      <c r="C834" s="1" t="s">
        <v>95</v>
      </c>
      <c r="E834" s="36">
        <v>193</v>
      </c>
      <c r="F834" s="19">
        <v>2346</v>
      </c>
      <c r="G834" s="19">
        <v>6650</v>
      </c>
      <c r="H834" s="19">
        <v>12705</v>
      </c>
      <c r="I834" s="19">
        <v>27355</v>
      </c>
      <c r="J834" s="19">
        <v>13597</v>
      </c>
    </row>
    <row r="835" spans="1:10" x14ac:dyDescent="0.2">
      <c r="C835" s="1" t="s">
        <v>96</v>
      </c>
      <c r="E835" s="36">
        <v>182</v>
      </c>
      <c r="F835" s="19">
        <v>2549</v>
      </c>
      <c r="G835" s="19">
        <v>7899</v>
      </c>
      <c r="H835" s="19">
        <v>16831</v>
      </c>
      <c r="I835" s="19">
        <v>37005</v>
      </c>
      <c r="J835" s="19">
        <v>18675</v>
      </c>
    </row>
    <row r="836" spans="1:10" x14ac:dyDescent="0.2">
      <c r="B836" s="34"/>
      <c r="C836" s="4" t="s">
        <v>372</v>
      </c>
      <c r="D836" s="34"/>
      <c r="E836" s="50">
        <v>177</v>
      </c>
      <c r="F836" s="54" t="s">
        <v>373</v>
      </c>
      <c r="G836" s="54" t="s">
        <v>373</v>
      </c>
      <c r="H836" s="54" t="s">
        <v>373</v>
      </c>
      <c r="I836" s="54" t="s">
        <v>373</v>
      </c>
      <c r="J836" s="54" t="s">
        <v>373</v>
      </c>
    </row>
    <row r="837" spans="1:10" ht="18" thickBot="1" x14ac:dyDescent="0.25">
      <c r="B837" s="5"/>
      <c r="C837" s="5"/>
      <c r="D837" s="5"/>
      <c r="E837" s="38"/>
      <c r="F837" s="5"/>
      <c r="G837" s="5"/>
      <c r="H837" s="5"/>
      <c r="I837" s="5"/>
      <c r="J837" s="5"/>
    </row>
    <row r="838" spans="1:10" x14ac:dyDescent="0.2">
      <c r="E838" s="1" t="s">
        <v>70</v>
      </c>
      <c r="H838" s="1" t="s">
        <v>98</v>
      </c>
    </row>
    <row r="839" spans="1:10" x14ac:dyDescent="0.2">
      <c r="H839" s="1" t="s">
        <v>105</v>
      </c>
    </row>
    <row r="841" spans="1:10" x14ac:dyDescent="0.2">
      <c r="A841" s="1"/>
    </row>
  </sheetData>
  <phoneticPr fontId="2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2" manualBreakCount="12">
    <brk id="72" max="16383" man="1"/>
    <brk id="142" max="16383" man="1"/>
    <brk id="212" max="16383" man="1"/>
    <brk id="282" max="16383" man="1"/>
    <brk id="352" max="16383" man="1"/>
    <brk id="422" max="16383" man="1"/>
    <brk id="491" max="16383" man="1"/>
    <brk id="561" max="16383" man="1"/>
    <brk id="631" max="16383" man="1"/>
    <brk id="701" max="16383" man="1"/>
    <brk id="771" max="16383" man="1"/>
    <brk id="8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4.625" style="2" customWidth="1"/>
    <col min="3" max="256" width="15.875" style="2"/>
    <col min="257" max="257" width="13.375" style="2" customWidth="1"/>
    <col min="258" max="258" width="4.625" style="2" customWidth="1"/>
    <col min="259" max="512" width="15.875" style="2"/>
    <col min="513" max="513" width="13.375" style="2" customWidth="1"/>
    <col min="514" max="514" width="4.625" style="2" customWidth="1"/>
    <col min="515" max="768" width="15.875" style="2"/>
    <col min="769" max="769" width="13.375" style="2" customWidth="1"/>
    <col min="770" max="770" width="4.625" style="2" customWidth="1"/>
    <col min="771" max="1024" width="15.875" style="2"/>
    <col min="1025" max="1025" width="13.375" style="2" customWidth="1"/>
    <col min="1026" max="1026" width="4.625" style="2" customWidth="1"/>
    <col min="1027" max="1280" width="15.875" style="2"/>
    <col min="1281" max="1281" width="13.375" style="2" customWidth="1"/>
    <col min="1282" max="1282" width="4.625" style="2" customWidth="1"/>
    <col min="1283" max="1536" width="15.875" style="2"/>
    <col min="1537" max="1537" width="13.375" style="2" customWidth="1"/>
    <col min="1538" max="1538" width="4.625" style="2" customWidth="1"/>
    <col min="1539" max="1792" width="15.875" style="2"/>
    <col min="1793" max="1793" width="13.375" style="2" customWidth="1"/>
    <col min="1794" max="1794" width="4.625" style="2" customWidth="1"/>
    <col min="1795" max="2048" width="15.875" style="2"/>
    <col min="2049" max="2049" width="13.375" style="2" customWidth="1"/>
    <col min="2050" max="2050" width="4.625" style="2" customWidth="1"/>
    <col min="2051" max="2304" width="15.875" style="2"/>
    <col min="2305" max="2305" width="13.375" style="2" customWidth="1"/>
    <col min="2306" max="2306" width="4.625" style="2" customWidth="1"/>
    <col min="2307" max="2560" width="15.875" style="2"/>
    <col min="2561" max="2561" width="13.375" style="2" customWidth="1"/>
    <col min="2562" max="2562" width="4.625" style="2" customWidth="1"/>
    <col min="2563" max="2816" width="15.875" style="2"/>
    <col min="2817" max="2817" width="13.375" style="2" customWidth="1"/>
    <col min="2818" max="2818" width="4.625" style="2" customWidth="1"/>
    <col min="2819" max="3072" width="15.875" style="2"/>
    <col min="3073" max="3073" width="13.375" style="2" customWidth="1"/>
    <col min="3074" max="3074" width="4.625" style="2" customWidth="1"/>
    <col min="3075" max="3328" width="15.875" style="2"/>
    <col min="3329" max="3329" width="13.375" style="2" customWidth="1"/>
    <col min="3330" max="3330" width="4.625" style="2" customWidth="1"/>
    <col min="3331" max="3584" width="15.875" style="2"/>
    <col min="3585" max="3585" width="13.375" style="2" customWidth="1"/>
    <col min="3586" max="3586" width="4.625" style="2" customWidth="1"/>
    <col min="3587" max="3840" width="15.875" style="2"/>
    <col min="3841" max="3841" width="13.375" style="2" customWidth="1"/>
    <col min="3842" max="3842" width="4.625" style="2" customWidth="1"/>
    <col min="3843" max="4096" width="15.875" style="2"/>
    <col min="4097" max="4097" width="13.375" style="2" customWidth="1"/>
    <col min="4098" max="4098" width="4.625" style="2" customWidth="1"/>
    <col min="4099" max="4352" width="15.875" style="2"/>
    <col min="4353" max="4353" width="13.375" style="2" customWidth="1"/>
    <col min="4354" max="4354" width="4.625" style="2" customWidth="1"/>
    <col min="4355" max="4608" width="15.875" style="2"/>
    <col min="4609" max="4609" width="13.375" style="2" customWidth="1"/>
    <col min="4610" max="4610" width="4.625" style="2" customWidth="1"/>
    <col min="4611" max="4864" width="15.875" style="2"/>
    <col min="4865" max="4865" width="13.375" style="2" customWidth="1"/>
    <col min="4866" max="4866" width="4.625" style="2" customWidth="1"/>
    <col min="4867" max="5120" width="15.875" style="2"/>
    <col min="5121" max="5121" width="13.375" style="2" customWidth="1"/>
    <col min="5122" max="5122" width="4.625" style="2" customWidth="1"/>
    <col min="5123" max="5376" width="15.875" style="2"/>
    <col min="5377" max="5377" width="13.375" style="2" customWidth="1"/>
    <col min="5378" max="5378" width="4.625" style="2" customWidth="1"/>
    <col min="5379" max="5632" width="15.875" style="2"/>
    <col min="5633" max="5633" width="13.375" style="2" customWidth="1"/>
    <col min="5634" max="5634" width="4.625" style="2" customWidth="1"/>
    <col min="5635" max="5888" width="15.875" style="2"/>
    <col min="5889" max="5889" width="13.375" style="2" customWidth="1"/>
    <col min="5890" max="5890" width="4.625" style="2" customWidth="1"/>
    <col min="5891" max="6144" width="15.875" style="2"/>
    <col min="6145" max="6145" width="13.375" style="2" customWidth="1"/>
    <col min="6146" max="6146" width="4.625" style="2" customWidth="1"/>
    <col min="6147" max="6400" width="15.875" style="2"/>
    <col min="6401" max="6401" width="13.375" style="2" customWidth="1"/>
    <col min="6402" max="6402" width="4.625" style="2" customWidth="1"/>
    <col min="6403" max="6656" width="15.875" style="2"/>
    <col min="6657" max="6657" width="13.375" style="2" customWidth="1"/>
    <col min="6658" max="6658" width="4.625" style="2" customWidth="1"/>
    <col min="6659" max="6912" width="15.875" style="2"/>
    <col min="6913" max="6913" width="13.375" style="2" customWidth="1"/>
    <col min="6914" max="6914" width="4.625" style="2" customWidth="1"/>
    <col min="6915" max="7168" width="15.875" style="2"/>
    <col min="7169" max="7169" width="13.375" style="2" customWidth="1"/>
    <col min="7170" max="7170" width="4.625" style="2" customWidth="1"/>
    <col min="7171" max="7424" width="15.875" style="2"/>
    <col min="7425" max="7425" width="13.375" style="2" customWidth="1"/>
    <col min="7426" max="7426" width="4.625" style="2" customWidth="1"/>
    <col min="7427" max="7680" width="15.875" style="2"/>
    <col min="7681" max="7681" width="13.375" style="2" customWidth="1"/>
    <col min="7682" max="7682" width="4.625" style="2" customWidth="1"/>
    <col min="7683" max="7936" width="15.875" style="2"/>
    <col min="7937" max="7937" width="13.375" style="2" customWidth="1"/>
    <col min="7938" max="7938" width="4.625" style="2" customWidth="1"/>
    <col min="7939" max="8192" width="15.875" style="2"/>
    <col min="8193" max="8193" width="13.375" style="2" customWidth="1"/>
    <col min="8194" max="8194" width="4.625" style="2" customWidth="1"/>
    <col min="8195" max="8448" width="15.875" style="2"/>
    <col min="8449" max="8449" width="13.375" style="2" customWidth="1"/>
    <col min="8450" max="8450" width="4.625" style="2" customWidth="1"/>
    <col min="8451" max="8704" width="15.875" style="2"/>
    <col min="8705" max="8705" width="13.375" style="2" customWidth="1"/>
    <col min="8706" max="8706" width="4.625" style="2" customWidth="1"/>
    <col min="8707" max="8960" width="15.875" style="2"/>
    <col min="8961" max="8961" width="13.375" style="2" customWidth="1"/>
    <col min="8962" max="8962" width="4.625" style="2" customWidth="1"/>
    <col min="8963" max="9216" width="15.875" style="2"/>
    <col min="9217" max="9217" width="13.375" style="2" customWidth="1"/>
    <col min="9218" max="9218" width="4.625" style="2" customWidth="1"/>
    <col min="9219" max="9472" width="15.875" style="2"/>
    <col min="9473" max="9473" width="13.375" style="2" customWidth="1"/>
    <col min="9474" max="9474" width="4.625" style="2" customWidth="1"/>
    <col min="9475" max="9728" width="15.875" style="2"/>
    <col min="9729" max="9729" width="13.375" style="2" customWidth="1"/>
    <col min="9730" max="9730" width="4.625" style="2" customWidth="1"/>
    <col min="9731" max="9984" width="15.875" style="2"/>
    <col min="9985" max="9985" width="13.375" style="2" customWidth="1"/>
    <col min="9986" max="9986" width="4.625" style="2" customWidth="1"/>
    <col min="9987" max="10240" width="15.875" style="2"/>
    <col min="10241" max="10241" width="13.375" style="2" customWidth="1"/>
    <col min="10242" max="10242" width="4.625" style="2" customWidth="1"/>
    <col min="10243" max="10496" width="15.875" style="2"/>
    <col min="10497" max="10497" width="13.375" style="2" customWidth="1"/>
    <col min="10498" max="10498" width="4.625" style="2" customWidth="1"/>
    <col min="10499" max="10752" width="15.875" style="2"/>
    <col min="10753" max="10753" width="13.375" style="2" customWidth="1"/>
    <col min="10754" max="10754" width="4.625" style="2" customWidth="1"/>
    <col min="10755" max="11008" width="15.875" style="2"/>
    <col min="11009" max="11009" width="13.375" style="2" customWidth="1"/>
    <col min="11010" max="11010" width="4.625" style="2" customWidth="1"/>
    <col min="11011" max="11264" width="15.875" style="2"/>
    <col min="11265" max="11265" width="13.375" style="2" customWidth="1"/>
    <col min="11266" max="11266" width="4.625" style="2" customWidth="1"/>
    <col min="11267" max="11520" width="15.875" style="2"/>
    <col min="11521" max="11521" width="13.375" style="2" customWidth="1"/>
    <col min="11522" max="11522" width="4.625" style="2" customWidth="1"/>
    <col min="11523" max="11776" width="15.875" style="2"/>
    <col min="11777" max="11777" width="13.375" style="2" customWidth="1"/>
    <col min="11778" max="11778" width="4.625" style="2" customWidth="1"/>
    <col min="11779" max="12032" width="15.875" style="2"/>
    <col min="12033" max="12033" width="13.375" style="2" customWidth="1"/>
    <col min="12034" max="12034" width="4.625" style="2" customWidth="1"/>
    <col min="12035" max="12288" width="15.875" style="2"/>
    <col min="12289" max="12289" width="13.375" style="2" customWidth="1"/>
    <col min="12290" max="12290" width="4.625" style="2" customWidth="1"/>
    <col min="12291" max="12544" width="15.875" style="2"/>
    <col min="12545" max="12545" width="13.375" style="2" customWidth="1"/>
    <col min="12546" max="12546" width="4.625" style="2" customWidth="1"/>
    <col min="12547" max="12800" width="15.875" style="2"/>
    <col min="12801" max="12801" width="13.375" style="2" customWidth="1"/>
    <col min="12802" max="12802" width="4.625" style="2" customWidth="1"/>
    <col min="12803" max="13056" width="15.875" style="2"/>
    <col min="13057" max="13057" width="13.375" style="2" customWidth="1"/>
    <col min="13058" max="13058" width="4.625" style="2" customWidth="1"/>
    <col min="13059" max="13312" width="15.875" style="2"/>
    <col min="13313" max="13313" width="13.375" style="2" customWidth="1"/>
    <col min="13314" max="13314" width="4.625" style="2" customWidth="1"/>
    <col min="13315" max="13568" width="15.875" style="2"/>
    <col min="13569" max="13569" width="13.375" style="2" customWidth="1"/>
    <col min="13570" max="13570" width="4.625" style="2" customWidth="1"/>
    <col min="13571" max="13824" width="15.875" style="2"/>
    <col min="13825" max="13825" width="13.375" style="2" customWidth="1"/>
    <col min="13826" max="13826" width="4.625" style="2" customWidth="1"/>
    <col min="13827" max="14080" width="15.875" style="2"/>
    <col min="14081" max="14081" width="13.375" style="2" customWidth="1"/>
    <col min="14082" max="14082" width="4.625" style="2" customWidth="1"/>
    <col min="14083" max="14336" width="15.875" style="2"/>
    <col min="14337" max="14337" width="13.375" style="2" customWidth="1"/>
    <col min="14338" max="14338" width="4.625" style="2" customWidth="1"/>
    <col min="14339" max="14592" width="15.875" style="2"/>
    <col min="14593" max="14593" width="13.375" style="2" customWidth="1"/>
    <col min="14594" max="14594" width="4.625" style="2" customWidth="1"/>
    <col min="14595" max="14848" width="15.875" style="2"/>
    <col min="14849" max="14849" width="13.375" style="2" customWidth="1"/>
    <col min="14850" max="14850" width="4.625" style="2" customWidth="1"/>
    <col min="14851" max="15104" width="15.875" style="2"/>
    <col min="15105" max="15105" width="13.375" style="2" customWidth="1"/>
    <col min="15106" max="15106" width="4.625" style="2" customWidth="1"/>
    <col min="15107" max="15360" width="15.875" style="2"/>
    <col min="15361" max="15361" width="13.375" style="2" customWidth="1"/>
    <col min="15362" max="15362" width="4.625" style="2" customWidth="1"/>
    <col min="15363" max="15616" width="15.875" style="2"/>
    <col min="15617" max="15617" width="13.375" style="2" customWidth="1"/>
    <col min="15618" max="15618" width="4.625" style="2" customWidth="1"/>
    <col min="15619" max="15872" width="15.875" style="2"/>
    <col min="15873" max="15873" width="13.375" style="2" customWidth="1"/>
    <col min="15874" max="15874" width="4.625" style="2" customWidth="1"/>
    <col min="15875" max="16128" width="15.875" style="2"/>
    <col min="16129" max="16129" width="13.375" style="2" customWidth="1"/>
    <col min="16130" max="16130" width="4.625" style="2" customWidth="1"/>
    <col min="16131" max="16384" width="15.875" style="2"/>
  </cols>
  <sheetData>
    <row r="1" spans="1:10" x14ac:dyDescent="0.2">
      <c r="A1" s="1"/>
    </row>
    <row r="3" spans="1:10" x14ac:dyDescent="0.2">
      <c r="D3" s="19"/>
    </row>
    <row r="6" spans="1:10" x14ac:dyDescent="0.2">
      <c r="E6" s="4" t="s">
        <v>135</v>
      </c>
    </row>
    <row r="7" spans="1:10" ht="18" thickBot="1" x14ac:dyDescent="0.25">
      <c r="B7" s="5"/>
      <c r="C7" s="5"/>
      <c r="D7" s="5"/>
      <c r="E7" s="35" t="s">
        <v>136</v>
      </c>
      <c r="F7" s="5"/>
      <c r="G7" s="5"/>
      <c r="H7" s="35" t="s">
        <v>137</v>
      </c>
      <c r="I7" s="5"/>
      <c r="J7" s="5"/>
    </row>
    <row r="8" spans="1:10" x14ac:dyDescent="0.2">
      <c r="D8" s="9"/>
      <c r="E8" s="9"/>
      <c r="F8" s="9"/>
      <c r="G8" s="9"/>
      <c r="H8" s="9"/>
      <c r="I8" s="9"/>
      <c r="J8" s="10" t="s">
        <v>52</v>
      </c>
    </row>
    <row r="9" spans="1:10" x14ac:dyDescent="0.2">
      <c r="D9" s="11" t="s">
        <v>138</v>
      </c>
      <c r="E9" s="11" t="s">
        <v>139</v>
      </c>
      <c r="F9" s="11" t="s">
        <v>55</v>
      </c>
      <c r="G9" s="11" t="s">
        <v>140</v>
      </c>
      <c r="H9" s="11" t="s">
        <v>141</v>
      </c>
      <c r="I9" s="11" t="s">
        <v>142</v>
      </c>
      <c r="J9" s="11" t="s">
        <v>143</v>
      </c>
    </row>
    <row r="10" spans="1:10" x14ac:dyDescent="0.2">
      <c r="B10" s="7"/>
      <c r="C10" s="7"/>
      <c r="D10" s="6"/>
      <c r="E10" s="6"/>
      <c r="F10" s="6"/>
      <c r="G10" s="12" t="s">
        <v>56</v>
      </c>
      <c r="H10" s="12" t="s">
        <v>144</v>
      </c>
      <c r="I10" s="6"/>
      <c r="J10" s="12" t="s">
        <v>145</v>
      </c>
    </row>
    <row r="11" spans="1:10" x14ac:dyDescent="0.2">
      <c r="D11" s="9"/>
      <c r="E11" s="15" t="s">
        <v>17</v>
      </c>
      <c r="F11" s="15" t="s">
        <v>16</v>
      </c>
      <c r="G11" s="15" t="s">
        <v>16</v>
      </c>
      <c r="H11" s="15" t="s">
        <v>16</v>
      </c>
      <c r="I11" s="15" t="s">
        <v>16</v>
      </c>
      <c r="J11" s="15" t="s">
        <v>16</v>
      </c>
    </row>
    <row r="12" spans="1:10" x14ac:dyDescent="0.2">
      <c r="B12" s="4" t="s">
        <v>146</v>
      </c>
      <c r="D12" s="37">
        <f t="shared" ref="D12:I12" si="0">SUM(D14:D70)</f>
        <v>3202</v>
      </c>
      <c r="E12" s="34">
        <f t="shared" si="0"/>
        <v>65240</v>
      </c>
      <c r="F12" s="34">
        <f t="shared" si="0"/>
        <v>271714.71000000002</v>
      </c>
      <c r="G12" s="34">
        <f t="shared" si="0"/>
        <v>1221450.7799999993</v>
      </c>
      <c r="H12" s="34">
        <f t="shared" si="0"/>
        <v>2389522.16</v>
      </c>
      <c r="I12" s="34">
        <f t="shared" si="0"/>
        <v>953714.4600000002</v>
      </c>
      <c r="J12" s="34">
        <f>SUM(J14:J70)+1303.46</f>
        <v>892780.52999999991</v>
      </c>
    </row>
    <row r="13" spans="1:10" x14ac:dyDescent="0.2">
      <c r="D13" s="9"/>
      <c r="F13" s="34"/>
      <c r="G13" s="34"/>
      <c r="H13" s="34"/>
      <c r="I13" s="34"/>
      <c r="J13" s="34"/>
    </row>
    <row r="14" spans="1:10" x14ac:dyDescent="0.2">
      <c r="A14" s="19"/>
      <c r="C14" s="1" t="s">
        <v>147</v>
      </c>
      <c r="D14" s="36">
        <v>1148</v>
      </c>
      <c r="E14" s="19">
        <v>28602</v>
      </c>
      <c r="F14" s="19">
        <v>137804.85</v>
      </c>
      <c r="G14" s="19">
        <v>484283.52</v>
      </c>
      <c r="H14" s="19">
        <v>1071907.29</v>
      </c>
      <c r="I14" s="19">
        <v>569115.62</v>
      </c>
      <c r="J14" s="19">
        <v>524054.29</v>
      </c>
    </row>
    <row r="15" spans="1:10" x14ac:dyDescent="0.2">
      <c r="A15" s="19"/>
      <c r="C15" s="1" t="s">
        <v>148</v>
      </c>
      <c r="D15" s="36">
        <v>273</v>
      </c>
      <c r="E15" s="19">
        <v>4757</v>
      </c>
      <c r="F15" s="19">
        <v>20248.080000000002</v>
      </c>
      <c r="G15" s="19">
        <v>110038.48</v>
      </c>
      <c r="H15" s="19">
        <v>189461.74</v>
      </c>
      <c r="I15" s="19">
        <v>76270.81</v>
      </c>
      <c r="J15" s="19">
        <v>93520.38</v>
      </c>
    </row>
    <row r="16" spans="1:10" x14ac:dyDescent="0.2">
      <c r="A16" s="19"/>
      <c r="C16" s="1" t="s">
        <v>149</v>
      </c>
      <c r="D16" s="36">
        <v>96</v>
      </c>
      <c r="E16" s="19">
        <v>1748</v>
      </c>
      <c r="F16" s="19">
        <v>6597.98</v>
      </c>
      <c r="G16" s="19">
        <v>29209.57</v>
      </c>
      <c r="H16" s="19">
        <v>122010.37</v>
      </c>
      <c r="I16" s="19">
        <v>30241.599999999999</v>
      </c>
      <c r="J16" s="19">
        <v>6306.25</v>
      </c>
    </row>
    <row r="17" spans="1:10" x14ac:dyDescent="0.2">
      <c r="A17" s="19"/>
      <c r="C17" s="1" t="s">
        <v>150</v>
      </c>
      <c r="D17" s="36">
        <v>112</v>
      </c>
      <c r="E17" s="19">
        <v>2614</v>
      </c>
      <c r="F17" s="19">
        <v>13766.67</v>
      </c>
      <c r="G17" s="19">
        <v>288093.03999999998</v>
      </c>
      <c r="H17" s="19">
        <v>446109.07</v>
      </c>
      <c r="I17" s="19">
        <v>34993.47</v>
      </c>
      <c r="J17" s="19">
        <v>42438.55</v>
      </c>
    </row>
    <row r="18" spans="1:10" x14ac:dyDescent="0.2">
      <c r="A18" s="19"/>
      <c r="C18" s="1" t="s">
        <v>151</v>
      </c>
      <c r="D18" s="36">
        <v>99</v>
      </c>
      <c r="E18" s="19">
        <v>1627</v>
      </c>
      <c r="F18" s="19">
        <v>5266.37</v>
      </c>
      <c r="G18" s="19">
        <v>18809.71</v>
      </c>
      <c r="H18" s="19">
        <v>32314.22</v>
      </c>
      <c r="I18" s="19">
        <v>12932.65</v>
      </c>
      <c r="J18" s="19">
        <v>13413.31</v>
      </c>
    </row>
    <row r="19" spans="1:10" x14ac:dyDescent="0.2">
      <c r="A19" s="19"/>
      <c r="C19" s="1" t="s">
        <v>152</v>
      </c>
      <c r="D19" s="36">
        <v>164</v>
      </c>
      <c r="E19" s="19">
        <v>2568</v>
      </c>
      <c r="F19" s="19">
        <v>8161.73</v>
      </c>
      <c r="G19" s="19">
        <v>25948.18</v>
      </c>
      <c r="H19" s="19">
        <v>44185.71</v>
      </c>
      <c r="I19" s="19">
        <v>17540.37</v>
      </c>
      <c r="J19" s="19">
        <v>15301.07</v>
      </c>
    </row>
    <row r="20" spans="1:10" x14ac:dyDescent="0.2">
      <c r="A20" s="19"/>
      <c r="C20" s="1" t="s">
        <v>153</v>
      </c>
      <c r="D20" s="36">
        <v>70</v>
      </c>
      <c r="E20" s="19">
        <v>982</v>
      </c>
      <c r="F20" s="19">
        <v>3556.9</v>
      </c>
      <c r="G20" s="19">
        <v>7871.35</v>
      </c>
      <c r="H20" s="19">
        <v>14887.72</v>
      </c>
      <c r="I20" s="19">
        <v>6787.16</v>
      </c>
      <c r="J20" s="19">
        <v>4050.92</v>
      </c>
    </row>
    <row r="21" spans="1:10" x14ac:dyDescent="0.2">
      <c r="A21" s="19"/>
      <c r="D21" s="36"/>
      <c r="E21" s="19"/>
      <c r="F21" s="19"/>
      <c r="G21" s="19"/>
      <c r="H21" s="19"/>
      <c r="I21" s="19"/>
      <c r="J21" s="19"/>
    </row>
    <row r="22" spans="1:10" x14ac:dyDescent="0.2">
      <c r="A22" s="19"/>
      <c r="C22" s="1" t="s">
        <v>154</v>
      </c>
      <c r="D22" s="36">
        <v>35</v>
      </c>
      <c r="E22" s="19">
        <v>630</v>
      </c>
      <c r="F22" s="19">
        <v>3202.65</v>
      </c>
      <c r="G22" s="19">
        <v>14628.89</v>
      </c>
      <c r="H22" s="19">
        <v>34917.980000000003</v>
      </c>
      <c r="I22" s="19">
        <v>20261.240000000002</v>
      </c>
      <c r="J22" s="19">
        <v>9517.2999999999993</v>
      </c>
    </row>
    <row r="23" spans="1:10" x14ac:dyDescent="0.2">
      <c r="A23" s="19"/>
      <c r="C23" s="1" t="s">
        <v>155</v>
      </c>
      <c r="D23" s="36">
        <v>61</v>
      </c>
      <c r="E23" s="19">
        <v>892</v>
      </c>
      <c r="F23" s="19">
        <v>2668.88</v>
      </c>
      <c r="G23" s="19">
        <v>4459.2700000000004</v>
      </c>
      <c r="H23" s="19">
        <v>12928.46</v>
      </c>
      <c r="I23" s="19">
        <v>8316.98</v>
      </c>
      <c r="J23" s="19">
        <v>6462.35</v>
      </c>
    </row>
    <row r="24" spans="1:10" x14ac:dyDescent="0.2">
      <c r="A24" s="19"/>
      <c r="C24" s="1" t="s">
        <v>156</v>
      </c>
      <c r="D24" s="36">
        <v>19</v>
      </c>
      <c r="E24" s="19">
        <v>215</v>
      </c>
      <c r="F24" s="19">
        <v>608.83000000000004</v>
      </c>
      <c r="G24" s="19">
        <v>1563.74</v>
      </c>
      <c r="H24" s="19">
        <v>3196.35</v>
      </c>
      <c r="I24" s="19">
        <v>1608.31</v>
      </c>
      <c r="J24" s="19">
        <v>504</v>
      </c>
    </row>
    <row r="25" spans="1:10" x14ac:dyDescent="0.2">
      <c r="D25" s="9"/>
      <c r="F25" s="19"/>
      <c r="G25" s="19"/>
      <c r="H25" s="19"/>
      <c r="I25" s="19"/>
      <c r="J25" s="19"/>
    </row>
    <row r="26" spans="1:10" x14ac:dyDescent="0.2">
      <c r="A26" s="19"/>
      <c r="C26" s="1" t="s">
        <v>157</v>
      </c>
      <c r="D26" s="36">
        <v>47</v>
      </c>
      <c r="E26" s="19">
        <v>1053</v>
      </c>
      <c r="F26" s="19">
        <v>5196.04</v>
      </c>
      <c r="G26" s="19">
        <v>27058.19</v>
      </c>
      <c r="H26" s="19">
        <v>46273.06</v>
      </c>
      <c r="I26" s="19">
        <v>18399.64</v>
      </c>
      <c r="J26" s="19">
        <v>24692.19</v>
      </c>
    </row>
    <row r="27" spans="1:10" x14ac:dyDescent="0.2">
      <c r="A27" s="19"/>
      <c r="C27" s="1" t="s">
        <v>158</v>
      </c>
      <c r="D27" s="36">
        <v>34</v>
      </c>
      <c r="E27" s="19">
        <v>840</v>
      </c>
      <c r="F27" s="19">
        <v>3132.49</v>
      </c>
      <c r="G27" s="19">
        <v>13822.66</v>
      </c>
      <c r="H27" s="19">
        <v>21958.2</v>
      </c>
      <c r="I27" s="19">
        <v>7860.65</v>
      </c>
      <c r="J27" s="19">
        <v>8912.41</v>
      </c>
    </row>
    <row r="28" spans="1:10" x14ac:dyDescent="0.2">
      <c r="A28" s="19"/>
      <c r="C28" s="1" t="s">
        <v>159</v>
      </c>
      <c r="D28" s="36">
        <v>21</v>
      </c>
      <c r="E28" s="19">
        <v>381</v>
      </c>
      <c r="F28" s="19">
        <v>1378.85</v>
      </c>
      <c r="G28" s="19">
        <v>5687.89</v>
      </c>
      <c r="H28" s="19">
        <v>8866.7900000000009</v>
      </c>
      <c r="I28" s="19">
        <v>2993.18</v>
      </c>
      <c r="J28" s="19">
        <v>2912.93</v>
      </c>
    </row>
    <row r="29" spans="1:10" x14ac:dyDescent="0.2">
      <c r="A29" s="19"/>
      <c r="C29" s="1" t="s">
        <v>160</v>
      </c>
      <c r="D29" s="36">
        <v>33</v>
      </c>
      <c r="E29" s="19">
        <v>904</v>
      </c>
      <c r="F29" s="19">
        <v>3828.81</v>
      </c>
      <c r="G29" s="19">
        <v>15131.31</v>
      </c>
      <c r="H29" s="19">
        <v>27779.95</v>
      </c>
      <c r="I29" s="19">
        <v>12344.3</v>
      </c>
      <c r="J29" s="19">
        <v>22647.17</v>
      </c>
    </row>
    <row r="30" spans="1:10" x14ac:dyDescent="0.2">
      <c r="A30" s="19"/>
      <c r="C30" s="1" t="s">
        <v>161</v>
      </c>
      <c r="D30" s="36">
        <v>56</v>
      </c>
      <c r="E30" s="19">
        <v>1031</v>
      </c>
      <c r="F30" s="19">
        <v>3713.84</v>
      </c>
      <c r="G30" s="19">
        <v>9586.76</v>
      </c>
      <c r="H30" s="19">
        <v>18226.11</v>
      </c>
      <c r="I30" s="19">
        <v>8404.1200000000008</v>
      </c>
      <c r="J30" s="19">
        <v>5409.72</v>
      </c>
    </row>
    <row r="31" spans="1:10" x14ac:dyDescent="0.2">
      <c r="A31" s="19"/>
      <c r="C31" s="1" t="s">
        <v>162</v>
      </c>
      <c r="D31" s="36">
        <v>51</v>
      </c>
      <c r="E31" s="19">
        <v>1015</v>
      </c>
      <c r="F31" s="19">
        <v>3600.87</v>
      </c>
      <c r="G31" s="19">
        <v>6342.36</v>
      </c>
      <c r="H31" s="19">
        <v>15286.71</v>
      </c>
      <c r="I31" s="19">
        <v>8539.6299999999992</v>
      </c>
      <c r="J31" s="19">
        <v>9055.4699999999993</v>
      </c>
    </row>
    <row r="32" spans="1:10" x14ac:dyDescent="0.2">
      <c r="D32" s="9"/>
      <c r="F32" s="19"/>
      <c r="G32" s="19"/>
      <c r="H32" s="19"/>
      <c r="I32" s="19"/>
      <c r="J32" s="19"/>
    </row>
    <row r="33" spans="1:10" x14ac:dyDescent="0.2">
      <c r="A33" s="19"/>
      <c r="C33" s="1" t="s">
        <v>163</v>
      </c>
      <c r="D33" s="36">
        <v>73</v>
      </c>
      <c r="E33" s="19">
        <v>1529</v>
      </c>
      <c r="F33" s="19">
        <v>5000.55</v>
      </c>
      <c r="G33" s="19">
        <v>15835.85</v>
      </c>
      <c r="H33" s="19">
        <v>28389.7</v>
      </c>
      <c r="I33" s="19">
        <v>12204.6</v>
      </c>
      <c r="J33" s="19">
        <v>9488.81</v>
      </c>
    </row>
    <row r="34" spans="1:10" x14ac:dyDescent="0.2">
      <c r="A34" s="19"/>
      <c r="C34" s="1" t="s">
        <v>164</v>
      </c>
      <c r="D34" s="36">
        <v>146</v>
      </c>
      <c r="E34" s="19">
        <v>1710</v>
      </c>
      <c r="F34" s="19">
        <v>5536.93</v>
      </c>
      <c r="G34" s="19">
        <v>15211.92</v>
      </c>
      <c r="H34" s="19">
        <v>27590.36</v>
      </c>
      <c r="I34" s="19">
        <v>12026.71</v>
      </c>
      <c r="J34" s="19">
        <v>10634.2</v>
      </c>
    </row>
    <row r="35" spans="1:10" x14ac:dyDescent="0.2">
      <c r="A35" s="19"/>
      <c r="C35" s="1" t="s">
        <v>165</v>
      </c>
      <c r="D35" s="36">
        <v>15</v>
      </c>
      <c r="E35" s="19">
        <v>157</v>
      </c>
      <c r="F35" s="19">
        <v>402.07</v>
      </c>
      <c r="G35" s="19">
        <v>849.05</v>
      </c>
      <c r="H35" s="19">
        <v>1842.72</v>
      </c>
      <c r="I35" s="19">
        <v>971.96</v>
      </c>
      <c r="J35" s="19">
        <v>438.57</v>
      </c>
    </row>
    <row r="36" spans="1:10" x14ac:dyDescent="0.2">
      <c r="A36" s="19"/>
      <c r="C36" s="1" t="s">
        <v>166</v>
      </c>
      <c r="D36" s="36">
        <v>9</v>
      </c>
      <c r="E36" s="19">
        <v>114</v>
      </c>
      <c r="F36" s="19">
        <v>454.85</v>
      </c>
      <c r="G36" s="19">
        <v>374.41</v>
      </c>
      <c r="H36" s="19">
        <v>1241.95</v>
      </c>
      <c r="I36" s="19">
        <v>855.8</v>
      </c>
      <c r="J36" s="19">
        <v>367.17</v>
      </c>
    </row>
    <row r="37" spans="1:10" x14ac:dyDescent="0.2">
      <c r="A37" s="19"/>
      <c r="C37" s="1" t="s">
        <v>167</v>
      </c>
      <c r="D37" s="36">
        <v>5</v>
      </c>
      <c r="E37" s="19">
        <v>43</v>
      </c>
      <c r="F37" s="19">
        <v>83.08</v>
      </c>
      <c r="G37" s="19">
        <v>117.1</v>
      </c>
      <c r="H37" s="19">
        <v>233.15</v>
      </c>
      <c r="I37" s="19">
        <v>113.82</v>
      </c>
      <c r="J37" s="53" t="s">
        <v>168</v>
      </c>
    </row>
    <row r="38" spans="1:10" x14ac:dyDescent="0.2">
      <c r="D38" s="9"/>
      <c r="F38" s="19"/>
      <c r="G38" s="19"/>
      <c r="H38" s="19"/>
      <c r="I38" s="19"/>
      <c r="J38" s="19"/>
    </row>
    <row r="39" spans="1:10" x14ac:dyDescent="0.2">
      <c r="A39" s="19"/>
      <c r="C39" s="1" t="s">
        <v>169</v>
      </c>
      <c r="D39" s="36">
        <v>41</v>
      </c>
      <c r="E39" s="19">
        <v>485</v>
      </c>
      <c r="F39" s="19">
        <v>1256.8699999999999</v>
      </c>
      <c r="G39" s="19">
        <v>4261.93</v>
      </c>
      <c r="H39" s="19">
        <v>7344.93</v>
      </c>
      <c r="I39" s="19">
        <v>3001.2</v>
      </c>
      <c r="J39" s="19">
        <v>1154.76</v>
      </c>
    </row>
    <row r="40" spans="1:10" x14ac:dyDescent="0.2">
      <c r="A40" s="19"/>
      <c r="C40" s="1" t="s">
        <v>170</v>
      </c>
      <c r="D40" s="36">
        <v>40</v>
      </c>
      <c r="E40" s="19">
        <v>750</v>
      </c>
      <c r="F40" s="19">
        <v>2346.58</v>
      </c>
      <c r="G40" s="19">
        <v>8188.74</v>
      </c>
      <c r="H40" s="19">
        <v>13206.11</v>
      </c>
      <c r="I40" s="19">
        <v>4878.59</v>
      </c>
      <c r="J40" s="19">
        <v>7769.73</v>
      </c>
    </row>
    <row r="41" spans="1:10" x14ac:dyDescent="0.2">
      <c r="A41" s="19"/>
      <c r="C41" s="1" t="s">
        <v>171</v>
      </c>
      <c r="D41" s="36">
        <v>31</v>
      </c>
      <c r="E41" s="19">
        <v>1135</v>
      </c>
      <c r="F41" s="19">
        <v>4071.22</v>
      </c>
      <c r="G41" s="19">
        <v>21436.57</v>
      </c>
      <c r="H41" s="19">
        <v>30997.61</v>
      </c>
      <c r="I41" s="19">
        <v>9363</v>
      </c>
      <c r="J41" s="19">
        <v>13968.11</v>
      </c>
    </row>
    <row r="42" spans="1:10" x14ac:dyDescent="0.2">
      <c r="A42" s="19"/>
      <c r="C42" s="1" t="s">
        <v>172</v>
      </c>
      <c r="D42" s="36">
        <v>16</v>
      </c>
      <c r="E42" s="19">
        <v>122</v>
      </c>
      <c r="F42" s="19">
        <v>224.32</v>
      </c>
      <c r="G42" s="19">
        <v>705.29</v>
      </c>
      <c r="H42" s="19">
        <v>1466.86</v>
      </c>
      <c r="I42" s="19">
        <v>722.68</v>
      </c>
      <c r="J42" s="19">
        <v>127.43</v>
      </c>
    </row>
    <row r="43" spans="1:10" x14ac:dyDescent="0.2">
      <c r="A43" s="19"/>
      <c r="C43" s="1" t="s">
        <v>173</v>
      </c>
      <c r="D43" s="36">
        <v>19</v>
      </c>
      <c r="E43" s="19">
        <v>263</v>
      </c>
      <c r="F43" s="19">
        <v>717.9</v>
      </c>
      <c r="G43" s="19">
        <v>1796.46</v>
      </c>
      <c r="H43" s="19">
        <v>3347.56</v>
      </c>
      <c r="I43" s="19">
        <v>1520.29</v>
      </c>
      <c r="J43" s="19">
        <v>654.02</v>
      </c>
    </row>
    <row r="44" spans="1:10" x14ac:dyDescent="0.2">
      <c r="D44" s="9"/>
      <c r="F44" s="19"/>
      <c r="G44" s="19"/>
      <c r="H44" s="19"/>
      <c r="I44" s="19"/>
      <c r="J44" s="19"/>
    </row>
    <row r="45" spans="1:10" x14ac:dyDescent="0.2">
      <c r="A45" s="19"/>
      <c r="C45" s="1" t="s">
        <v>174</v>
      </c>
      <c r="D45" s="36">
        <v>22</v>
      </c>
      <c r="E45" s="19">
        <v>399</v>
      </c>
      <c r="F45" s="19">
        <v>1226.19</v>
      </c>
      <c r="G45" s="19">
        <v>5394.67</v>
      </c>
      <c r="H45" s="19">
        <v>7717.03</v>
      </c>
      <c r="I45" s="19">
        <v>2227.31</v>
      </c>
      <c r="J45" s="19">
        <v>1217.25</v>
      </c>
    </row>
    <row r="46" spans="1:10" x14ac:dyDescent="0.2">
      <c r="A46" s="19"/>
      <c r="C46" s="1" t="s">
        <v>175</v>
      </c>
      <c r="D46" s="36">
        <v>23</v>
      </c>
      <c r="E46" s="19">
        <v>239</v>
      </c>
      <c r="F46" s="19">
        <v>816.21</v>
      </c>
      <c r="G46" s="19">
        <v>2550.4499999999998</v>
      </c>
      <c r="H46" s="19">
        <v>4505.38</v>
      </c>
      <c r="I46" s="19">
        <v>1913.06</v>
      </c>
      <c r="J46" s="19">
        <v>962.68</v>
      </c>
    </row>
    <row r="47" spans="1:10" x14ac:dyDescent="0.2">
      <c r="A47" s="19"/>
      <c r="C47" s="1" t="s">
        <v>176</v>
      </c>
      <c r="D47" s="36">
        <v>23</v>
      </c>
      <c r="E47" s="19">
        <v>646</v>
      </c>
      <c r="F47" s="19">
        <v>3152.11</v>
      </c>
      <c r="G47" s="19">
        <v>8311.3799999999992</v>
      </c>
      <c r="H47" s="19">
        <v>22052</v>
      </c>
      <c r="I47" s="19">
        <v>13629.05</v>
      </c>
      <c r="J47" s="19">
        <v>9282.68</v>
      </c>
    </row>
    <row r="48" spans="1:10" x14ac:dyDescent="0.2">
      <c r="A48" s="19"/>
      <c r="C48" s="1" t="s">
        <v>177</v>
      </c>
      <c r="D48" s="36">
        <v>15</v>
      </c>
      <c r="E48" s="19">
        <v>473</v>
      </c>
      <c r="F48" s="19">
        <v>1622.29</v>
      </c>
      <c r="G48" s="19">
        <v>6120.33</v>
      </c>
      <c r="H48" s="19">
        <v>10751.05</v>
      </c>
      <c r="I48" s="19">
        <v>4508.79</v>
      </c>
      <c r="J48" s="19">
        <v>5047.9399999999996</v>
      </c>
    </row>
    <row r="49" spans="1:10" x14ac:dyDescent="0.2">
      <c r="A49" s="19"/>
      <c r="C49" s="1" t="s">
        <v>178</v>
      </c>
      <c r="D49" s="36">
        <v>3</v>
      </c>
      <c r="E49" s="19">
        <v>26</v>
      </c>
      <c r="F49" s="19">
        <v>75.67</v>
      </c>
      <c r="G49" s="19">
        <v>272.98</v>
      </c>
      <c r="H49" s="19">
        <v>501.15</v>
      </c>
      <c r="I49" s="19">
        <v>221.37</v>
      </c>
      <c r="J49" s="53" t="s">
        <v>168</v>
      </c>
    </row>
    <row r="50" spans="1:10" x14ac:dyDescent="0.2">
      <c r="A50" s="19"/>
      <c r="C50" s="1" t="s">
        <v>179</v>
      </c>
      <c r="D50" s="36">
        <v>7</v>
      </c>
      <c r="E50" s="19">
        <v>210</v>
      </c>
      <c r="F50" s="19">
        <v>458.65</v>
      </c>
      <c r="G50" s="19">
        <v>940.22</v>
      </c>
      <c r="H50" s="19">
        <v>2007.75</v>
      </c>
      <c r="I50" s="19">
        <v>1016.71</v>
      </c>
      <c r="J50" s="19">
        <v>1450.2</v>
      </c>
    </row>
    <row r="51" spans="1:10" x14ac:dyDescent="0.2">
      <c r="A51" s="19"/>
      <c r="C51" s="1" t="s">
        <v>180</v>
      </c>
      <c r="D51" s="36">
        <v>14</v>
      </c>
      <c r="E51" s="19">
        <v>190</v>
      </c>
      <c r="F51" s="19">
        <v>496.83</v>
      </c>
      <c r="G51" s="19">
        <v>639</v>
      </c>
      <c r="H51" s="19">
        <v>1437.45</v>
      </c>
      <c r="I51" s="19">
        <v>780.31</v>
      </c>
      <c r="J51" s="19">
        <v>287.23</v>
      </c>
    </row>
    <row r="52" spans="1:10" x14ac:dyDescent="0.2">
      <c r="A52" s="19"/>
      <c r="C52" s="1" t="s">
        <v>181</v>
      </c>
      <c r="D52" s="36">
        <v>39</v>
      </c>
      <c r="E52" s="19">
        <v>686</v>
      </c>
      <c r="F52" s="19">
        <v>1910.69</v>
      </c>
      <c r="G52" s="19">
        <v>11541.41</v>
      </c>
      <c r="H52" s="19">
        <v>16397.91</v>
      </c>
      <c r="I52" s="19">
        <v>4628.46</v>
      </c>
      <c r="J52" s="19">
        <v>2806.71</v>
      </c>
    </row>
    <row r="53" spans="1:10" x14ac:dyDescent="0.2">
      <c r="A53" s="19"/>
      <c r="C53" s="1" t="s">
        <v>182</v>
      </c>
      <c r="D53" s="36">
        <v>53</v>
      </c>
      <c r="E53" s="19">
        <v>1153</v>
      </c>
      <c r="F53" s="19">
        <v>3558.17</v>
      </c>
      <c r="G53" s="19">
        <v>14903.63</v>
      </c>
      <c r="H53" s="19">
        <v>24911.16</v>
      </c>
      <c r="I53" s="19">
        <v>9738.84</v>
      </c>
      <c r="J53" s="19">
        <v>6630.9</v>
      </c>
    </row>
    <row r="54" spans="1:10" x14ac:dyDescent="0.2">
      <c r="A54" s="19"/>
      <c r="C54" s="1" t="s">
        <v>183</v>
      </c>
      <c r="D54" s="36">
        <v>26</v>
      </c>
      <c r="E54" s="19">
        <v>627</v>
      </c>
      <c r="F54" s="19">
        <v>2363.6799999999998</v>
      </c>
      <c r="G54" s="19">
        <v>5411.51</v>
      </c>
      <c r="H54" s="19">
        <v>12059.56</v>
      </c>
      <c r="I54" s="19">
        <v>6478.47</v>
      </c>
      <c r="J54" s="19">
        <v>8396.08</v>
      </c>
    </row>
    <row r="55" spans="1:10" x14ac:dyDescent="0.2">
      <c r="D55" s="9"/>
      <c r="F55" s="19"/>
      <c r="G55" s="19"/>
      <c r="H55" s="19"/>
      <c r="I55" s="19"/>
      <c r="J55" s="19"/>
    </row>
    <row r="56" spans="1:10" x14ac:dyDescent="0.2">
      <c r="A56" s="19"/>
      <c r="C56" s="1" t="s">
        <v>184</v>
      </c>
      <c r="D56" s="36">
        <v>45</v>
      </c>
      <c r="E56" s="19">
        <v>703</v>
      </c>
      <c r="F56" s="19">
        <v>2307.87</v>
      </c>
      <c r="G56" s="19">
        <v>5586.68</v>
      </c>
      <c r="H56" s="19">
        <v>9591.07</v>
      </c>
      <c r="I56" s="19">
        <v>3933.73</v>
      </c>
      <c r="J56" s="19">
        <v>1427.79</v>
      </c>
    </row>
    <row r="57" spans="1:10" x14ac:dyDescent="0.2">
      <c r="A57" s="19"/>
      <c r="C57" s="1" t="s">
        <v>185</v>
      </c>
      <c r="D57" s="36">
        <v>16</v>
      </c>
      <c r="E57" s="19">
        <v>256</v>
      </c>
      <c r="F57" s="19">
        <v>681.63</v>
      </c>
      <c r="G57" s="19">
        <v>1068.22</v>
      </c>
      <c r="H57" s="19">
        <v>2533.9699999999998</v>
      </c>
      <c r="I57" s="19">
        <v>1434.92</v>
      </c>
      <c r="J57" s="19">
        <v>781.15</v>
      </c>
    </row>
    <row r="58" spans="1:10" x14ac:dyDescent="0.2">
      <c r="A58" s="19"/>
      <c r="C58" s="1" t="s">
        <v>186</v>
      </c>
      <c r="D58" s="36">
        <v>17</v>
      </c>
      <c r="E58" s="19">
        <v>200</v>
      </c>
      <c r="F58" s="19">
        <v>462.65</v>
      </c>
      <c r="G58" s="19">
        <v>1535.88</v>
      </c>
      <c r="H58" s="19">
        <v>2609.21</v>
      </c>
      <c r="I58" s="19">
        <v>1044.6400000000001</v>
      </c>
      <c r="J58" s="19">
        <v>882.2</v>
      </c>
    </row>
    <row r="59" spans="1:10" x14ac:dyDescent="0.2">
      <c r="A59" s="19"/>
      <c r="C59" s="1" t="s">
        <v>187</v>
      </c>
      <c r="D59" s="36">
        <v>35</v>
      </c>
      <c r="E59" s="19">
        <v>1081</v>
      </c>
      <c r="F59" s="19">
        <v>3842.87</v>
      </c>
      <c r="G59" s="19">
        <v>9915.6299999999992</v>
      </c>
      <c r="H59" s="19">
        <v>19021.53</v>
      </c>
      <c r="I59" s="19">
        <v>8789.5400000000009</v>
      </c>
      <c r="J59" s="19">
        <v>10041.51</v>
      </c>
    </row>
    <row r="60" spans="1:10" x14ac:dyDescent="0.2">
      <c r="A60" s="19"/>
      <c r="C60" s="1" t="s">
        <v>188</v>
      </c>
      <c r="D60" s="36">
        <v>13</v>
      </c>
      <c r="E60" s="19">
        <v>328</v>
      </c>
      <c r="F60" s="19">
        <v>1014.21</v>
      </c>
      <c r="G60" s="19">
        <v>1257.74</v>
      </c>
      <c r="H60" s="19">
        <v>2739</v>
      </c>
      <c r="I60" s="19">
        <v>1426.57</v>
      </c>
      <c r="J60" s="19">
        <v>1387.88</v>
      </c>
    </row>
    <row r="61" spans="1:10" x14ac:dyDescent="0.2">
      <c r="A61" s="19"/>
      <c r="C61" s="1" t="s">
        <v>189</v>
      </c>
      <c r="D61" s="36">
        <v>18</v>
      </c>
      <c r="E61" s="19">
        <v>326</v>
      </c>
      <c r="F61" s="19">
        <v>937.43</v>
      </c>
      <c r="G61" s="19">
        <v>4635.5200000000004</v>
      </c>
      <c r="H61" s="19">
        <v>6527.62</v>
      </c>
      <c r="I61" s="19">
        <v>1782.93</v>
      </c>
      <c r="J61" s="19">
        <v>2021.22</v>
      </c>
    </row>
    <row r="62" spans="1:10" x14ac:dyDescent="0.2">
      <c r="A62" s="19"/>
      <c r="C62" s="1" t="s">
        <v>190</v>
      </c>
      <c r="D62" s="36">
        <v>33</v>
      </c>
      <c r="E62" s="19">
        <v>425</v>
      </c>
      <c r="F62" s="19">
        <v>1318.79</v>
      </c>
      <c r="G62" s="19">
        <v>3474.57</v>
      </c>
      <c r="H62" s="19">
        <v>6474.78</v>
      </c>
      <c r="I62" s="19">
        <v>2866.12</v>
      </c>
      <c r="J62" s="19">
        <v>1111.1199999999999</v>
      </c>
    </row>
    <row r="63" spans="1:10" x14ac:dyDescent="0.2">
      <c r="D63" s="9"/>
      <c r="F63" s="19"/>
      <c r="G63" s="19"/>
      <c r="H63" s="19"/>
      <c r="I63" s="19"/>
      <c r="J63" s="19"/>
    </row>
    <row r="64" spans="1:10" x14ac:dyDescent="0.2">
      <c r="A64" s="19"/>
      <c r="C64" s="1" t="s">
        <v>191</v>
      </c>
      <c r="D64" s="36">
        <v>37</v>
      </c>
      <c r="E64" s="19">
        <v>527</v>
      </c>
      <c r="F64" s="19">
        <v>1329.9</v>
      </c>
      <c r="G64" s="19">
        <v>3161.34</v>
      </c>
      <c r="H64" s="19">
        <v>6004.22</v>
      </c>
      <c r="I64" s="19">
        <v>2788.34</v>
      </c>
      <c r="J64" s="19">
        <v>2803.34</v>
      </c>
    </row>
    <row r="65" spans="1:10" x14ac:dyDescent="0.2">
      <c r="A65" s="19"/>
      <c r="C65" s="1" t="s">
        <v>192</v>
      </c>
      <c r="D65" s="36">
        <v>11</v>
      </c>
      <c r="E65" s="19">
        <v>125</v>
      </c>
      <c r="F65" s="19">
        <v>225.94</v>
      </c>
      <c r="G65" s="19">
        <v>722.97</v>
      </c>
      <c r="H65" s="19">
        <v>1372.85</v>
      </c>
      <c r="I65" s="19">
        <v>634.55999999999995</v>
      </c>
      <c r="J65" s="53" t="s">
        <v>168</v>
      </c>
    </row>
    <row r="66" spans="1:10" x14ac:dyDescent="0.2">
      <c r="A66" s="19"/>
      <c r="C66" s="1" t="s">
        <v>193</v>
      </c>
      <c r="D66" s="36">
        <v>19</v>
      </c>
      <c r="E66" s="19">
        <v>246</v>
      </c>
      <c r="F66" s="19">
        <v>499.19</v>
      </c>
      <c r="G66" s="19">
        <v>1199.28</v>
      </c>
      <c r="H66" s="19">
        <v>2042.62</v>
      </c>
      <c r="I66" s="19">
        <v>813.23</v>
      </c>
      <c r="J66" s="19">
        <v>1040.42</v>
      </c>
    </row>
    <row r="67" spans="1:10" x14ac:dyDescent="0.2">
      <c r="A67" s="19"/>
      <c r="C67" s="1" t="s">
        <v>194</v>
      </c>
      <c r="D67" s="36">
        <v>8</v>
      </c>
      <c r="E67" s="19">
        <v>70</v>
      </c>
      <c r="F67" s="19">
        <v>155</v>
      </c>
      <c r="G67" s="19">
        <v>276.41000000000003</v>
      </c>
      <c r="H67" s="19">
        <v>611.08000000000004</v>
      </c>
      <c r="I67" s="19">
        <v>326.3</v>
      </c>
      <c r="J67" s="19">
        <v>59.21</v>
      </c>
    </row>
    <row r="68" spans="1:10" x14ac:dyDescent="0.2">
      <c r="A68" s="19"/>
      <c r="C68" s="1" t="s">
        <v>195</v>
      </c>
      <c r="D68" s="36">
        <v>4</v>
      </c>
      <c r="E68" s="19">
        <v>64</v>
      </c>
      <c r="F68" s="19">
        <v>261.70999999999998</v>
      </c>
      <c r="G68" s="19">
        <v>1023.64</v>
      </c>
      <c r="H68" s="19">
        <v>1323.9</v>
      </c>
      <c r="I68" s="19">
        <v>300.26</v>
      </c>
      <c r="J68" s="53" t="s">
        <v>168</v>
      </c>
    </row>
    <row r="69" spans="1:10" x14ac:dyDescent="0.2">
      <c r="A69" s="19"/>
      <c r="C69" s="1" t="s">
        <v>196</v>
      </c>
      <c r="D69" s="36">
        <v>7</v>
      </c>
      <c r="E69" s="19">
        <v>73</v>
      </c>
      <c r="F69" s="19">
        <v>168.82</v>
      </c>
      <c r="G69" s="19">
        <v>195.08</v>
      </c>
      <c r="H69" s="19">
        <v>359.19</v>
      </c>
      <c r="I69" s="19">
        <v>162.57</v>
      </c>
      <c r="J69" s="19">
        <v>38.450000000000003</v>
      </c>
    </row>
    <row r="70" spans="1:10" x14ac:dyDescent="0.2">
      <c r="A70" s="19"/>
      <c r="C70" s="1" t="s">
        <v>197</v>
      </c>
      <c r="D70" s="52" t="s">
        <v>198</v>
      </c>
      <c r="E70" s="29" t="s">
        <v>198</v>
      </c>
      <c r="F70" s="29" t="s">
        <v>198</v>
      </c>
      <c r="G70" s="29" t="s">
        <v>198</v>
      </c>
      <c r="H70" s="29" t="s">
        <v>198</v>
      </c>
      <c r="I70" s="29" t="s">
        <v>198</v>
      </c>
      <c r="J70" s="29" t="s">
        <v>198</v>
      </c>
    </row>
    <row r="71" spans="1:10" ht="18" thickBot="1" x14ac:dyDescent="0.25">
      <c r="B71" s="5"/>
      <c r="C71" s="31"/>
      <c r="D71" s="55"/>
      <c r="E71" s="56"/>
      <c r="F71" s="57"/>
      <c r="G71" s="57"/>
      <c r="H71" s="57"/>
      <c r="I71" s="57"/>
      <c r="J71" s="57"/>
    </row>
    <row r="72" spans="1:10" x14ac:dyDescent="0.2">
      <c r="D72" s="1" t="s">
        <v>199</v>
      </c>
      <c r="I72" s="44"/>
      <c r="J72" s="44"/>
    </row>
    <row r="73" spans="1:10" x14ac:dyDescent="0.2">
      <c r="A73" s="1"/>
    </row>
    <row r="74" spans="1:10" x14ac:dyDescent="0.2">
      <c r="F74" s="44"/>
      <c r="G74" s="44"/>
      <c r="H74" s="44"/>
      <c r="I74" s="44"/>
      <c r="J74" s="44"/>
    </row>
  </sheetData>
  <phoneticPr fontId="2"/>
  <pageMargins left="0.23000000000000004" right="0.23000000000000004" top="0.55000000000000004" bottom="0.48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1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3.375" style="2" customWidth="1"/>
    <col min="3" max="3" width="28.625" style="2" customWidth="1"/>
    <col min="4" max="8" width="14.625" style="2"/>
    <col min="9" max="10" width="13.375" style="2" customWidth="1"/>
    <col min="11" max="256" width="14.625" style="2"/>
    <col min="257" max="257" width="13.375" style="2" customWidth="1"/>
    <col min="258" max="258" width="3.375" style="2" customWidth="1"/>
    <col min="259" max="259" width="28.625" style="2" customWidth="1"/>
    <col min="260" max="264" width="14.625" style="2"/>
    <col min="265" max="266" width="13.375" style="2" customWidth="1"/>
    <col min="267" max="512" width="14.625" style="2"/>
    <col min="513" max="513" width="13.375" style="2" customWidth="1"/>
    <col min="514" max="514" width="3.375" style="2" customWidth="1"/>
    <col min="515" max="515" width="28.625" style="2" customWidth="1"/>
    <col min="516" max="520" width="14.625" style="2"/>
    <col min="521" max="522" width="13.375" style="2" customWidth="1"/>
    <col min="523" max="768" width="14.625" style="2"/>
    <col min="769" max="769" width="13.375" style="2" customWidth="1"/>
    <col min="770" max="770" width="3.375" style="2" customWidth="1"/>
    <col min="771" max="771" width="28.625" style="2" customWidth="1"/>
    <col min="772" max="776" width="14.625" style="2"/>
    <col min="777" max="778" width="13.375" style="2" customWidth="1"/>
    <col min="779" max="1024" width="14.625" style="2"/>
    <col min="1025" max="1025" width="13.375" style="2" customWidth="1"/>
    <col min="1026" max="1026" width="3.375" style="2" customWidth="1"/>
    <col min="1027" max="1027" width="28.625" style="2" customWidth="1"/>
    <col min="1028" max="1032" width="14.625" style="2"/>
    <col min="1033" max="1034" width="13.375" style="2" customWidth="1"/>
    <col min="1035" max="1280" width="14.625" style="2"/>
    <col min="1281" max="1281" width="13.375" style="2" customWidth="1"/>
    <col min="1282" max="1282" width="3.375" style="2" customWidth="1"/>
    <col min="1283" max="1283" width="28.625" style="2" customWidth="1"/>
    <col min="1284" max="1288" width="14.625" style="2"/>
    <col min="1289" max="1290" width="13.375" style="2" customWidth="1"/>
    <col min="1291" max="1536" width="14.625" style="2"/>
    <col min="1537" max="1537" width="13.375" style="2" customWidth="1"/>
    <col min="1538" max="1538" width="3.375" style="2" customWidth="1"/>
    <col min="1539" max="1539" width="28.625" style="2" customWidth="1"/>
    <col min="1540" max="1544" width="14.625" style="2"/>
    <col min="1545" max="1546" width="13.375" style="2" customWidth="1"/>
    <col min="1547" max="1792" width="14.625" style="2"/>
    <col min="1793" max="1793" width="13.375" style="2" customWidth="1"/>
    <col min="1794" max="1794" width="3.375" style="2" customWidth="1"/>
    <col min="1795" max="1795" width="28.625" style="2" customWidth="1"/>
    <col min="1796" max="1800" width="14.625" style="2"/>
    <col min="1801" max="1802" width="13.375" style="2" customWidth="1"/>
    <col min="1803" max="2048" width="14.625" style="2"/>
    <col min="2049" max="2049" width="13.375" style="2" customWidth="1"/>
    <col min="2050" max="2050" width="3.375" style="2" customWidth="1"/>
    <col min="2051" max="2051" width="28.625" style="2" customWidth="1"/>
    <col min="2052" max="2056" width="14.625" style="2"/>
    <col min="2057" max="2058" width="13.375" style="2" customWidth="1"/>
    <col min="2059" max="2304" width="14.625" style="2"/>
    <col min="2305" max="2305" width="13.375" style="2" customWidth="1"/>
    <col min="2306" max="2306" width="3.375" style="2" customWidth="1"/>
    <col min="2307" max="2307" width="28.625" style="2" customWidth="1"/>
    <col min="2308" max="2312" width="14.625" style="2"/>
    <col min="2313" max="2314" width="13.375" style="2" customWidth="1"/>
    <col min="2315" max="2560" width="14.625" style="2"/>
    <col min="2561" max="2561" width="13.375" style="2" customWidth="1"/>
    <col min="2562" max="2562" width="3.375" style="2" customWidth="1"/>
    <col min="2563" max="2563" width="28.625" style="2" customWidth="1"/>
    <col min="2564" max="2568" width="14.625" style="2"/>
    <col min="2569" max="2570" width="13.375" style="2" customWidth="1"/>
    <col min="2571" max="2816" width="14.625" style="2"/>
    <col min="2817" max="2817" width="13.375" style="2" customWidth="1"/>
    <col min="2818" max="2818" width="3.375" style="2" customWidth="1"/>
    <col min="2819" max="2819" width="28.625" style="2" customWidth="1"/>
    <col min="2820" max="2824" width="14.625" style="2"/>
    <col min="2825" max="2826" width="13.375" style="2" customWidth="1"/>
    <col min="2827" max="3072" width="14.625" style="2"/>
    <col min="3073" max="3073" width="13.375" style="2" customWidth="1"/>
    <col min="3074" max="3074" width="3.375" style="2" customWidth="1"/>
    <col min="3075" max="3075" width="28.625" style="2" customWidth="1"/>
    <col min="3076" max="3080" width="14.625" style="2"/>
    <col min="3081" max="3082" width="13.375" style="2" customWidth="1"/>
    <col min="3083" max="3328" width="14.625" style="2"/>
    <col min="3329" max="3329" width="13.375" style="2" customWidth="1"/>
    <col min="3330" max="3330" width="3.375" style="2" customWidth="1"/>
    <col min="3331" max="3331" width="28.625" style="2" customWidth="1"/>
    <col min="3332" max="3336" width="14.625" style="2"/>
    <col min="3337" max="3338" width="13.375" style="2" customWidth="1"/>
    <col min="3339" max="3584" width="14.625" style="2"/>
    <col min="3585" max="3585" width="13.375" style="2" customWidth="1"/>
    <col min="3586" max="3586" width="3.375" style="2" customWidth="1"/>
    <col min="3587" max="3587" width="28.625" style="2" customWidth="1"/>
    <col min="3588" max="3592" width="14.625" style="2"/>
    <col min="3593" max="3594" width="13.375" style="2" customWidth="1"/>
    <col min="3595" max="3840" width="14.625" style="2"/>
    <col min="3841" max="3841" width="13.375" style="2" customWidth="1"/>
    <col min="3842" max="3842" width="3.375" style="2" customWidth="1"/>
    <col min="3843" max="3843" width="28.625" style="2" customWidth="1"/>
    <col min="3844" max="3848" width="14.625" style="2"/>
    <col min="3849" max="3850" width="13.375" style="2" customWidth="1"/>
    <col min="3851" max="4096" width="14.625" style="2"/>
    <col min="4097" max="4097" width="13.375" style="2" customWidth="1"/>
    <col min="4098" max="4098" width="3.375" style="2" customWidth="1"/>
    <col min="4099" max="4099" width="28.625" style="2" customWidth="1"/>
    <col min="4100" max="4104" width="14.625" style="2"/>
    <col min="4105" max="4106" width="13.375" style="2" customWidth="1"/>
    <col min="4107" max="4352" width="14.625" style="2"/>
    <col min="4353" max="4353" width="13.375" style="2" customWidth="1"/>
    <col min="4354" max="4354" width="3.375" style="2" customWidth="1"/>
    <col min="4355" max="4355" width="28.625" style="2" customWidth="1"/>
    <col min="4356" max="4360" width="14.625" style="2"/>
    <col min="4361" max="4362" width="13.375" style="2" customWidth="1"/>
    <col min="4363" max="4608" width="14.625" style="2"/>
    <col min="4609" max="4609" width="13.375" style="2" customWidth="1"/>
    <col min="4610" max="4610" width="3.375" style="2" customWidth="1"/>
    <col min="4611" max="4611" width="28.625" style="2" customWidth="1"/>
    <col min="4612" max="4616" width="14.625" style="2"/>
    <col min="4617" max="4618" width="13.375" style="2" customWidth="1"/>
    <col min="4619" max="4864" width="14.625" style="2"/>
    <col min="4865" max="4865" width="13.375" style="2" customWidth="1"/>
    <col min="4866" max="4866" width="3.375" style="2" customWidth="1"/>
    <col min="4867" max="4867" width="28.625" style="2" customWidth="1"/>
    <col min="4868" max="4872" width="14.625" style="2"/>
    <col min="4873" max="4874" width="13.375" style="2" customWidth="1"/>
    <col min="4875" max="5120" width="14.625" style="2"/>
    <col min="5121" max="5121" width="13.375" style="2" customWidth="1"/>
    <col min="5122" max="5122" width="3.375" style="2" customWidth="1"/>
    <col min="5123" max="5123" width="28.625" style="2" customWidth="1"/>
    <col min="5124" max="5128" width="14.625" style="2"/>
    <col min="5129" max="5130" width="13.375" style="2" customWidth="1"/>
    <col min="5131" max="5376" width="14.625" style="2"/>
    <col min="5377" max="5377" width="13.375" style="2" customWidth="1"/>
    <col min="5378" max="5378" width="3.375" style="2" customWidth="1"/>
    <col min="5379" max="5379" width="28.625" style="2" customWidth="1"/>
    <col min="5380" max="5384" width="14.625" style="2"/>
    <col min="5385" max="5386" width="13.375" style="2" customWidth="1"/>
    <col min="5387" max="5632" width="14.625" style="2"/>
    <col min="5633" max="5633" width="13.375" style="2" customWidth="1"/>
    <col min="5634" max="5634" width="3.375" style="2" customWidth="1"/>
    <col min="5635" max="5635" width="28.625" style="2" customWidth="1"/>
    <col min="5636" max="5640" width="14.625" style="2"/>
    <col min="5641" max="5642" width="13.375" style="2" customWidth="1"/>
    <col min="5643" max="5888" width="14.625" style="2"/>
    <col min="5889" max="5889" width="13.375" style="2" customWidth="1"/>
    <col min="5890" max="5890" width="3.375" style="2" customWidth="1"/>
    <col min="5891" max="5891" width="28.625" style="2" customWidth="1"/>
    <col min="5892" max="5896" width="14.625" style="2"/>
    <col min="5897" max="5898" width="13.375" style="2" customWidth="1"/>
    <col min="5899" max="6144" width="14.625" style="2"/>
    <col min="6145" max="6145" width="13.375" style="2" customWidth="1"/>
    <col min="6146" max="6146" width="3.375" style="2" customWidth="1"/>
    <col min="6147" max="6147" width="28.625" style="2" customWidth="1"/>
    <col min="6148" max="6152" width="14.625" style="2"/>
    <col min="6153" max="6154" width="13.375" style="2" customWidth="1"/>
    <col min="6155" max="6400" width="14.625" style="2"/>
    <col min="6401" max="6401" width="13.375" style="2" customWidth="1"/>
    <col min="6402" max="6402" width="3.375" style="2" customWidth="1"/>
    <col min="6403" max="6403" width="28.625" style="2" customWidth="1"/>
    <col min="6404" max="6408" width="14.625" style="2"/>
    <col min="6409" max="6410" width="13.375" style="2" customWidth="1"/>
    <col min="6411" max="6656" width="14.625" style="2"/>
    <col min="6657" max="6657" width="13.375" style="2" customWidth="1"/>
    <col min="6658" max="6658" width="3.375" style="2" customWidth="1"/>
    <col min="6659" max="6659" width="28.625" style="2" customWidth="1"/>
    <col min="6660" max="6664" width="14.625" style="2"/>
    <col min="6665" max="6666" width="13.375" style="2" customWidth="1"/>
    <col min="6667" max="6912" width="14.625" style="2"/>
    <col min="6913" max="6913" width="13.375" style="2" customWidth="1"/>
    <col min="6914" max="6914" width="3.375" style="2" customWidth="1"/>
    <col min="6915" max="6915" width="28.625" style="2" customWidth="1"/>
    <col min="6916" max="6920" width="14.625" style="2"/>
    <col min="6921" max="6922" width="13.375" style="2" customWidth="1"/>
    <col min="6923" max="7168" width="14.625" style="2"/>
    <col min="7169" max="7169" width="13.375" style="2" customWidth="1"/>
    <col min="7170" max="7170" width="3.375" style="2" customWidth="1"/>
    <col min="7171" max="7171" width="28.625" style="2" customWidth="1"/>
    <col min="7172" max="7176" width="14.625" style="2"/>
    <col min="7177" max="7178" width="13.375" style="2" customWidth="1"/>
    <col min="7179" max="7424" width="14.625" style="2"/>
    <col min="7425" max="7425" width="13.375" style="2" customWidth="1"/>
    <col min="7426" max="7426" width="3.375" style="2" customWidth="1"/>
    <col min="7427" max="7427" width="28.625" style="2" customWidth="1"/>
    <col min="7428" max="7432" width="14.625" style="2"/>
    <col min="7433" max="7434" width="13.375" style="2" customWidth="1"/>
    <col min="7435" max="7680" width="14.625" style="2"/>
    <col min="7681" max="7681" width="13.375" style="2" customWidth="1"/>
    <col min="7682" max="7682" width="3.375" style="2" customWidth="1"/>
    <col min="7683" max="7683" width="28.625" style="2" customWidth="1"/>
    <col min="7684" max="7688" width="14.625" style="2"/>
    <col min="7689" max="7690" width="13.375" style="2" customWidth="1"/>
    <col min="7691" max="7936" width="14.625" style="2"/>
    <col min="7937" max="7937" width="13.375" style="2" customWidth="1"/>
    <col min="7938" max="7938" width="3.375" style="2" customWidth="1"/>
    <col min="7939" max="7939" width="28.625" style="2" customWidth="1"/>
    <col min="7940" max="7944" width="14.625" style="2"/>
    <col min="7945" max="7946" width="13.375" style="2" customWidth="1"/>
    <col min="7947" max="8192" width="14.625" style="2"/>
    <col min="8193" max="8193" width="13.375" style="2" customWidth="1"/>
    <col min="8194" max="8194" width="3.375" style="2" customWidth="1"/>
    <col min="8195" max="8195" width="28.625" style="2" customWidth="1"/>
    <col min="8196" max="8200" width="14.625" style="2"/>
    <col min="8201" max="8202" width="13.375" style="2" customWidth="1"/>
    <col min="8203" max="8448" width="14.625" style="2"/>
    <col min="8449" max="8449" width="13.375" style="2" customWidth="1"/>
    <col min="8450" max="8450" width="3.375" style="2" customWidth="1"/>
    <col min="8451" max="8451" width="28.625" style="2" customWidth="1"/>
    <col min="8452" max="8456" width="14.625" style="2"/>
    <col min="8457" max="8458" width="13.375" style="2" customWidth="1"/>
    <col min="8459" max="8704" width="14.625" style="2"/>
    <col min="8705" max="8705" width="13.375" style="2" customWidth="1"/>
    <col min="8706" max="8706" width="3.375" style="2" customWidth="1"/>
    <col min="8707" max="8707" width="28.625" style="2" customWidth="1"/>
    <col min="8708" max="8712" width="14.625" style="2"/>
    <col min="8713" max="8714" width="13.375" style="2" customWidth="1"/>
    <col min="8715" max="8960" width="14.625" style="2"/>
    <col min="8961" max="8961" width="13.375" style="2" customWidth="1"/>
    <col min="8962" max="8962" width="3.375" style="2" customWidth="1"/>
    <col min="8963" max="8963" width="28.625" style="2" customWidth="1"/>
    <col min="8964" max="8968" width="14.625" style="2"/>
    <col min="8969" max="8970" width="13.375" style="2" customWidth="1"/>
    <col min="8971" max="9216" width="14.625" style="2"/>
    <col min="9217" max="9217" width="13.375" style="2" customWidth="1"/>
    <col min="9218" max="9218" width="3.375" style="2" customWidth="1"/>
    <col min="9219" max="9219" width="28.625" style="2" customWidth="1"/>
    <col min="9220" max="9224" width="14.625" style="2"/>
    <col min="9225" max="9226" width="13.375" style="2" customWidth="1"/>
    <col min="9227" max="9472" width="14.625" style="2"/>
    <col min="9473" max="9473" width="13.375" style="2" customWidth="1"/>
    <col min="9474" max="9474" width="3.375" style="2" customWidth="1"/>
    <col min="9475" max="9475" width="28.625" style="2" customWidth="1"/>
    <col min="9476" max="9480" width="14.625" style="2"/>
    <col min="9481" max="9482" width="13.375" style="2" customWidth="1"/>
    <col min="9483" max="9728" width="14.625" style="2"/>
    <col min="9729" max="9729" width="13.375" style="2" customWidth="1"/>
    <col min="9730" max="9730" width="3.375" style="2" customWidth="1"/>
    <col min="9731" max="9731" width="28.625" style="2" customWidth="1"/>
    <col min="9732" max="9736" width="14.625" style="2"/>
    <col min="9737" max="9738" width="13.375" style="2" customWidth="1"/>
    <col min="9739" max="9984" width="14.625" style="2"/>
    <col min="9985" max="9985" width="13.375" style="2" customWidth="1"/>
    <col min="9986" max="9986" width="3.375" style="2" customWidth="1"/>
    <col min="9987" max="9987" width="28.625" style="2" customWidth="1"/>
    <col min="9988" max="9992" width="14.625" style="2"/>
    <col min="9993" max="9994" width="13.375" style="2" customWidth="1"/>
    <col min="9995" max="10240" width="14.625" style="2"/>
    <col min="10241" max="10241" width="13.375" style="2" customWidth="1"/>
    <col min="10242" max="10242" width="3.375" style="2" customWidth="1"/>
    <col min="10243" max="10243" width="28.625" style="2" customWidth="1"/>
    <col min="10244" max="10248" width="14.625" style="2"/>
    <col min="10249" max="10250" width="13.375" style="2" customWidth="1"/>
    <col min="10251" max="10496" width="14.625" style="2"/>
    <col min="10497" max="10497" width="13.375" style="2" customWidth="1"/>
    <col min="10498" max="10498" width="3.375" style="2" customWidth="1"/>
    <col min="10499" max="10499" width="28.625" style="2" customWidth="1"/>
    <col min="10500" max="10504" width="14.625" style="2"/>
    <col min="10505" max="10506" width="13.375" style="2" customWidth="1"/>
    <col min="10507" max="10752" width="14.625" style="2"/>
    <col min="10753" max="10753" width="13.375" style="2" customWidth="1"/>
    <col min="10754" max="10754" width="3.375" style="2" customWidth="1"/>
    <col min="10755" max="10755" width="28.625" style="2" customWidth="1"/>
    <col min="10756" max="10760" width="14.625" style="2"/>
    <col min="10761" max="10762" width="13.375" style="2" customWidth="1"/>
    <col min="10763" max="11008" width="14.625" style="2"/>
    <col min="11009" max="11009" width="13.375" style="2" customWidth="1"/>
    <col min="11010" max="11010" width="3.375" style="2" customWidth="1"/>
    <col min="11011" max="11011" width="28.625" style="2" customWidth="1"/>
    <col min="11012" max="11016" width="14.625" style="2"/>
    <col min="11017" max="11018" width="13.375" style="2" customWidth="1"/>
    <col min="11019" max="11264" width="14.625" style="2"/>
    <col min="11265" max="11265" width="13.375" style="2" customWidth="1"/>
    <col min="11266" max="11266" width="3.375" style="2" customWidth="1"/>
    <col min="11267" max="11267" width="28.625" style="2" customWidth="1"/>
    <col min="11268" max="11272" width="14.625" style="2"/>
    <col min="11273" max="11274" width="13.375" style="2" customWidth="1"/>
    <col min="11275" max="11520" width="14.625" style="2"/>
    <col min="11521" max="11521" width="13.375" style="2" customWidth="1"/>
    <col min="11522" max="11522" width="3.375" style="2" customWidth="1"/>
    <col min="11523" max="11523" width="28.625" style="2" customWidth="1"/>
    <col min="11524" max="11528" width="14.625" style="2"/>
    <col min="11529" max="11530" width="13.375" style="2" customWidth="1"/>
    <col min="11531" max="11776" width="14.625" style="2"/>
    <col min="11777" max="11777" width="13.375" style="2" customWidth="1"/>
    <col min="11778" max="11778" width="3.375" style="2" customWidth="1"/>
    <col min="11779" max="11779" width="28.625" style="2" customWidth="1"/>
    <col min="11780" max="11784" width="14.625" style="2"/>
    <col min="11785" max="11786" width="13.375" style="2" customWidth="1"/>
    <col min="11787" max="12032" width="14.625" style="2"/>
    <col min="12033" max="12033" width="13.375" style="2" customWidth="1"/>
    <col min="12034" max="12034" width="3.375" style="2" customWidth="1"/>
    <col min="12035" max="12035" width="28.625" style="2" customWidth="1"/>
    <col min="12036" max="12040" width="14.625" style="2"/>
    <col min="12041" max="12042" width="13.375" style="2" customWidth="1"/>
    <col min="12043" max="12288" width="14.625" style="2"/>
    <col min="12289" max="12289" width="13.375" style="2" customWidth="1"/>
    <col min="12290" max="12290" width="3.375" style="2" customWidth="1"/>
    <col min="12291" max="12291" width="28.625" style="2" customWidth="1"/>
    <col min="12292" max="12296" width="14.625" style="2"/>
    <col min="12297" max="12298" width="13.375" style="2" customWidth="1"/>
    <col min="12299" max="12544" width="14.625" style="2"/>
    <col min="12545" max="12545" width="13.375" style="2" customWidth="1"/>
    <col min="12546" max="12546" width="3.375" style="2" customWidth="1"/>
    <col min="12547" max="12547" width="28.625" style="2" customWidth="1"/>
    <col min="12548" max="12552" width="14.625" style="2"/>
    <col min="12553" max="12554" width="13.375" style="2" customWidth="1"/>
    <col min="12555" max="12800" width="14.625" style="2"/>
    <col min="12801" max="12801" width="13.375" style="2" customWidth="1"/>
    <col min="12802" max="12802" width="3.375" style="2" customWidth="1"/>
    <col min="12803" max="12803" width="28.625" style="2" customWidth="1"/>
    <col min="12804" max="12808" width="14.625" style="2"/>
    <col min="12809" max="12810" width="13.375" style="2" customWidth="1"/>
    <col min="12811" max="13056" width="14.625" style="2"/>
    <col min="13057" max="13057" width="13.375" style="2" customWidth="1"/>
    <col min="13058" max="13058" width="3.375" style="2" customWidth="1"/>
    <col min="13059" max="13059" width="28.625" style="2" customWidth="1"/>
    <col min="13060" max="13064" width="14.625" style="2"/>
    <col min="13065" max="13066" width="13.375" style="2" customWidth="1"/>
    <col min="13067" max="13312" width="14.625" style="2"/>
    <col min="13313" max="13313" width="13.375" style="2" customWidth="1"/>
    <col min="13314" max="13314" width="3.375" style="2" customWidth="1"/>
    <col min="13315" max="13315" width="28.625" style="2" customWidth="1"/>
    <col min="13316" max="13320" width="14.625" style="2"/>
    <col min="13321" max="13322" width="13.375" style="2" customWidth="1"/>
    <col min="13323" max="13568" width="14.625" style="2"/>
    <col min="13569" max="13569" width="13.375" style="2" customWidth="1"/>
    <col min="13570" max="13570" width="3.375" style="2" customWidth="1"/>
    <col min="13571" max="13571" width="28.625" style="2" customWidth="1"/>
    <col min="13572" max="13576" width="14.625" style="2"/>
    <col min="13577" max="13578" width="13.375" style="2" customWidth="1"/>
    <col min="13579" max="13824" width="14.625" style="2"/>
    <col min="13825" max="13825" width="13.375" style="2" customWidth="1"/>
    <col min="13826" max="13826" width="3.375" style="2" customWidth="1"/>
    <col min="13827" max="13827" width="28.625" style="2" customWidth="1"/>
    <col min="13828" max="13832" width="14.625" style="2"/>
    <col min="13833" max="13834" width="13.375" style="2" customWidth="1"/>
    <col min="13835" max="14080" width="14.625" style="2"/>
    <col min="14081" max="14081" width="13.375" style="2" customWidth="1"/>
    <col min="14082" max="14082" width="3.375" style="2" customWidth="1"/>
    <col min="14083" max="14083" width="28.625" style="2" customWidth="1"/>
    <col min="14084" max="14088" width="14.625" style="2"/>
    <col min="14089" max="14090" width="13.375" style="2" customWidth="1"/>
    <col min="14091" max="14336" width="14.625" style="2"/>
    <col min="14337" max="14337" width="13.375" style="2" customWidth="1"/>
    <col min="14338" max="14338" width="3.375" style="2" customWidth="1"/>
    <col min="14339" max="14339" width="28.625" style="2" customWidth="1"/>
    <col min="14340" max="14344" width="14.625" style="2"/>
    <col min="14345" max="14346" width="13.375" style="2" customWidth="1"/>
    <col min="14347" max="14592" width="14.625" style="2"/>
    <col min="14593" max="14593" width="13.375" style="2" customWidth="1"/>
    <col min="14594" max="14594" width="3.375" style="2" customWidth="1"/>
    <col min="14595" max="14595" width="28.625" style="2" customWidth="1"/>
    <col min="14596" max="14600" width="14.625" style="2"/>
    <col min="14601" max="14602" width="13.375" style="2" customWidth="1"/>
    <col min="14603" max="14848" width="14.625" style="2"/>
    <col min="14849" max="14849" width="13.375" style="2" customWidth="1"/>
    <col min="14850" max="14850" width="3.375" style="2" customWidth="1"/>
    <col min="14851" max="14851" width="28.625" style="2" customWidth="1"/>
    <col min="14852" max="14856" width="14.625" style="2"/>
    <col min="14857" max="14858" width="13.375" style="2" customWidth="1"/>
    <col min="14859" max="15104" width="14.625" style="2"/>
    <col min="15105" max="15105" width="13.375" style="2" customWidth="1"/>
    <col min="15106" max="15106" width="3.375" style="2" customWidth="1"/>
    <col min="15107" max="15107" width="28.625" style="2" customWidth="1"/>
    <col min="15108" max="15112" width="14.625" style="2"/>
    <col min="15113" max="15114" width="13.375" style="2" customWidth="1"/>
    <col min="15115" max="15360" width="14.625" style="2"/>
    <col min="15361" max="15361" width="13.375" style="2" customWidth="1"/>
    <col min="15362" max="15362" width="3.375" style="2" customWidth="1"/>
    <col min="15363" max="15363" width="28.625" style="2" customWidth="1"/>
    <col min="15364" max="15368" width="14.625" style="2"/>
    <col min="15369" max="15370" width="13.375" style="2" customWidth="1"/>
    <col min="15371" max="15616" width="14.625" style="2"/>
    <col min="15617" max="15617" width="13.375" style="2" customWidth="1"/>
    <col min="15618" max="15618" width="3.375" style="2" customWidth="1"/>
    <col min="15619" max="15619" width="28.625" style="2" customWidth="1"/>
    <col min="15620" max="15624" width="14.625" style="2"/>
    <col min="15625" max="15626" width="13.375" style="2" customWidth="1"/>
    <col min="15627" max="15872" width="14.625" style="2"/>
    <col min="15873" max="15873" width="13.375" style="2" customWidth="1"/>
    <col min="15874" max="15874" width="3.375" style="2" customWidth="1"/>
    <col min="15875" max="15875" width="28.625" style="2" customWidth="1"/>
    <col min="15876" max="15880" width="14.625" style="2"/>
    <col min="15881" max="15882" width="13.375" style="2" customWidth="1"/>
    <col min="15883" max="16128" width="14.625" style="2"/>
    <col min="16129" max="16129" width="13.375" style="2" customWidth="1"/>
    <col min="16130" max="16130" width="3.375" style="2" customWidth="1"/>
    <col min="16131" max="16131" width="28.625" style="2" customWidth="1"/>
    <col min="16132" max="16136" width="14.625" style="2"/>
    <col min="16137" max="16138" width="13.375" style="2" customWidth="1"/>
    <col min="16139" max="16384" width="14.625" style="2"/>
  </cols>
  <sheetData>
    <row r="1" spans="1:11" x14ac:dyDescent="0.2">
      <c r="A1" s="1"/>
    </row>
    <row r="6" spans="1:11" x14ac:dyDescent="0.2">
      <c r="D6" s="4" t="s">
        <v>200</v>
      </c>
      <c r="J6" s="3"/>
    </row>
    <row r="7" spans="1:11" ht="18" thickBot="1" x14ac:dyDescent="0.25">
      <c r="B7" s="5"/>
      <c r="C7" s="5"/>
      <c r="D7" s="35" t="s">
        <v>201</v>
      </c>
      <c r="E7" s="5"/>
      <c r="F7" s="5"/>
      <c r="G7" s="5"/>
      <c r="H7" s="5"/>
      <c r="I7" s="35" t="s">
        <v>202</v>
      </c>
      <c r="J7" s="5"/>
      <c r="K7" s="3"/>
    </row>
    <row r="8" spans="1:11" x14ac:dyDescent="0.2">
      <c r="D8" s="11" t="s">
        <v>203</v>
      </c>
      <c r="E8" s="11" t="s">
        <v>204</v>
      </c>
      <c r="F8" s="11" t="s">
        <v>205</v>
      </c>
      <c r="G8" s="11" t="s">
        <v>206</v>
      </c>
      <c r="H8" s="11" t="s">
        <v>207</v>
      </c>
      <c r="I8" s="11" t="s">
        <v>208</v>
      </c>
      <c r="J8" s="11" t="s">
        <v>209</v>
      </c>
      <c r="K8" s="3"/>
    </row>
    <row r="9" spans="1:11" x14ac:dyDescent="0.2">
      <c r="B9" s="7"/>
      <c r="C9" s="8" t="s">
        <v>210</v>
      </c>
      <c r="D9" s="12" t="s">
        <v>211</v>
      </c>
      <c r="E9" s="12" t="s">
        <v>212</v>
      </c>
      <c r="F9" s="12" t="s">
        <v>213</v>
      </c>
      <c r="G9" s="12" t="s">
        <v>214</v>
      </c>
      <c r="H9" s="12" t="s">
        <v>215</v>
      </c>
      <c r="I9" s="12" t="s">
        <v>216</v>
      </c>
      <c r="J9" s="12" t="s">
        <v>217</v>
      </c>
      <c r="K9" s="3"/>
    </row>
    <row r="10" spans="1:11" x14ac:dyDescent="0.2">
      <c r="D10" s="9"/>
      <c r="I10" s="3"/>
      <c r="J10" s="3"/>
      <c r="K10" s="3"/>
    </row>
    <row r="11" spans="1:11" x14ac:dyDescent="0.2">
      <c r="C11" s="4" t="s">
        <v>218</v>
      </c>
      <c r="D11" s="37">
        <f t="shared" ref="D11:J11" si="0">D13+D46</f>
        <v>16257.807999999999</v>
      </c>
      <c r="E11" s="34">
        <f t="shared" si="0"/>
        <v>24938.243000300004</v>
      </c>
      <c r="F11" s="34">
        <f t="shared" si="0"/>
        <v>35405.214099999997</v>
      </c>
      <c r="G11" s="34">
        <f t="shared" si="0"/>
        <v>43859.920000000006</v>
      </c>
      <c r="H11" s="34">
        <f t="shared" si="0"/>
        <v>41407.243000000002</v>
      </c>
      <c r="I11" s="58">
        <f t="shared" si="0"/>
        <v>36684.476000000002</v>
      </c>
      <c r="J11" s="58">
        <f t="shared" si="0"/>
        <v>37608.481</v>
      </c>
      <c r="K11" s="3"/>
    </row>
    <row r="12" spans="1:11" x14ac:dyDescent="0.2">
      <c r="D12" s="9"/>
      <c r="I12" s="3"/>
      <c r="J12" s="3"/>
      <c r="K12" s="3"/>
    </row>
    <row r="13" spans="1:11" x14ac:dyDescent="0.2">
      <c r="B13" s="4" t="s">
        <v>219</v>
      </c>
      <c r="C13" s="34"/>
      <c r="D13" s="37">
        <f t="shared" ref="D13:J13" si="1">SUM(D15:D44)</f>
        <v>4051.2510000000002</v>
      </c>
      <c r="E13" s="34">
        <f t="shared" si="1"/>
        <v>4121.76</v>
      </c>
      <c r="F13" s="34">
        <f t="shared" si="1"/>
        <v>5374.7740999999996</v>
      </c>
      <c r="G13" s="34">
        <f t="shared" si="1"/>
        <v>6144.8700000000008</v>
      </c>
      <c r="H13" s="34">
        <f t="shared" si="1"/>
        <v>6425.759</v>
      </c>
      <c r="I13" s="58">
        <f t="shared" si="1"/>
        <v>6110.8160000000007</v>
      </c>
      <c r="J13" s="58">
        <f t="shared" si="1"/>
        <v>6684.24</v>
      </c>
      <c r="K13" s="3"/>
    </row>
    <row r="14" spans="1:11" x14ac:dyDescent="0.2">
      <c r="D14" s="9"/>
      <c r="I14" s="3"/>
      <c r="J14" s="3"/>
      <c r="K14" s="3"/>
    </row>
    <row r="15" spans="1:11" x14ac:dyDescent="0.2">
      <c r="C15" s="1" t="s">
        <v>220</v>
      </c>
      <c r="D15" s="36">
        <v>190.66300000000001</v>
      </c>
      <c r="E15" s="19">
        <v>312.00099999999998</v>
      </c>
      <c r="F15" s="19">
        <v>507.29</v>
      </c>
      <c r="G15" s="19">
        <v>780.56700000000001</v>
      </c>
      <c r="H15" s="19">
        <v>784.72500000000002</v>
      </c>
      <c r="I15" s="23">
        <v>765.98299999999995</v>
      </c>
      <c r="J15" s="23">
        <v>826.80799999999999</v>
      </c>
      <c r="K15" s="3"/>
    </row>
    <row r="16" spans="1:11" x14ac:dyDescent="0.2">
      <c r="C16" s="1" t="s">
        <v>221</v>
      </c>
      <c r="D16" s="36">
        <v>37.335000000000001</v>
      </c>
      <c r="E16" s="19">
        <v>52.75</v>
      </c>
      <c r="F16" s="19">
        <v>81.471000000000004</v>
      </c>
      <c r="G16" s="19">
        <v>101.92100000000001</v>
      </c>
      <c r="H16" s="19">
        <v>106.044</v>
      </c>
      <c r="I16" s="23">
        <v>111.248</v>
      </c>
      <c r="J16" s="23">
        <v>132.09800000000001</v>
      </c>
      <c r="K16" s="3"/>
    </row>
    <row r="17" spans="3:11" x14ac:dyDescent="0.2">
      <c r="C17" s="1" t="s">
        <v>222</v>
      </c>
      <c r="D17" s="36">
        <v>76.951999999999998</v>
      </c>
      <c r="E17" s="19">
        <v>61.183999999999997</v>
      </c>
      <c r="F17" s="19">
        <v>67.921000000000006</v>
      </c>
      <c r="G17" s="19">
        <v>166.88200000000001</v>
      </c>
      <c r="H17" s="19">
        <v>166.62899999999999</v>
      </c>
      <c r="I17" s="23">
        <v>144.45599999999999</v>
      </c>
      <c r="J17" s="23">
        <v>168.41900000000001</v>
      </c>
      <c r="K17" s="3"/>
    </row>
    <row r="18" spans="3:11" x14ac:dyDescent="0.2">
      <c r="D18" s="36"/>
      <c r="E18" s="19"/>
      <c r="F18" s="19"/>
      <c r="G18" s="19"/>
      <c r="H18" s="19"/>
      <c r="I18" s="23"/>
      <c r="J18" s="23"/>
      <c r="K18" s="3"/>
    </row>
    <row r="19" spans="3:11" x14ac:dyDescent="0.2">
      <c r="C19" s="1" t="s">
        <v>223</v>
      </c>
      <c r="D19" s="36">
        <v>47.542000000000002</v>
      </c>
      <c r="E19" s="19">
        <v>31.268000000000001</v>
      </c>
      <c r="F19" s="19">
        <v>41.134</v>
      </c>
      <c r="G19" s="19">
        <v>46.017000000000003</v>
      </c>
      <c r="H19" s="19">
        <v>47.637999999999998</v>
      </c>
      <c r="I19" s="23">
        <v>47.655999999999999</v>
      </c>
      <c r="J19" s="23">
        <v>48.665999999999997</v>
      </c>
      <c r="K19" s="3"/>
    </row>
    <row r="20" spans="3:11" x14ac:dyDescent="0.2">
      <c r="C20" s="1" t="s">
        <v>224</v>
      </c>
      <c r="D20" s="36">
        <v>65.927000000000007</v>
      </c>
      <c r="E20" s="19">
        <v>92.888000000000005</v>
      </c>
      <c r="F20" s="19">
        <v>175.023</v>
      </c>
      <c r="G20" s="19">
        <v>55.807000000000002</v>
      </c>
      <c r="H20" s="19">
        <v>57.091999999999999</v>
      </c>
      <c r="I20" s="23">
        <v>51.865000000000002</v>
      </c>
      <c r="J20" s="23">
        <v>67.141000000000005</v>
      </c>
      <c r="K20" s="3"/>
    </row>
    <row r="21" spans="3:11" x14ac:dyDescent="0.2">
      <c r="C21" s="1" t="s">
        <v>225</v>
      </c>
      <c r="D21" s="36">
        <v>187.29300000000001</v>
      </c>
      <c r="E21" s="19">
        <v>175.06700000000001</v>
      </c>
      <c r="F21" s="19">
        <v>298.57799999999997</v>
      </c>
      <c r="G21" s="19">
        <v>309.89600000000002</v>
      </c>
      <c r="H21" s="19">
        <v>213.73599999999999</v>
      </c>
      <c r="I21" s="23">
        <v>157.935</v>
      </c>
      <c r="J21" s="23">
        <v>264.59399999999999</v>
      </c>
      <c r="K21" s="3"/>
    </row>
    <row r="22" spans="3:11" x14ac:dyDescent="0.2">
      <c r="D22" s="36"/>
      <c r="E22" s="19"/>
      <c r="F22" s="19"/>
      <c r="G22" s="19"/>
      <c r="H22" s="19"/>
      <c r="I22" s="23"/>
      <c r="J22" s="23"/>
      <c r="K22" s="3"/>
    </row>
    <row r="23" spans="3:11" x14ac:dyDescent="0.2">
      <c r="C23" s="1" t="s">
        <v>226</v>
      </c>
      <c r="D23" s="36">
        <v>474.45499999999998</v>
      </c>
      <c r="E23" s="19">
        <v>467.36799999999999</v>
      </c>
      <c r="F23" s="19">
        <v>639.57399999999996</v>
      </c>
      <c r="G23" s="19">
        <v>704.38</v>
      </c>
      <c r="H23" s="19">
        <v>696.67</v>
      </c>
      <c r="I23" s="23">
        <v>727.13</v>
      </c>
      <c r="J23" s="23">
        <v>769.47299999999996</v>
      </c>
      <c r="K23" s="3"/>
    </row>
    <row r="24" spans="3:11" x14ac:dyDescent="0.2">
      <c r="C24" s="1" t="s">
        <v>227</v>
      </c>
      <c r="D24" s="36">
        <v>0.2</v>
      </c>
      <c r="E24" s="19">
        <v>1.8</v>
      </c>
      <c r="F24" s="19">
        <v>1E-4</v>
      </c>
      <c r="G24" s="19">
        <v>0.4</v>
      </c>
      <c r="H24" s="19">
        <v>0.5</v>
      </c>
      <c r="I24" s="23">
        <v>0.21</v>
      </c>
      <c r="J24" s="23">
        <v>3.363</v>
      </c>
      <c r="K24" s="3"/>
    </row>
    <row r="25" spans="3:11" x14ac:dyDescent="0.2">
      <c r="C25" s="1" t="s">
        <v>228</v>
      </c>
      <c r="D25" s="36">
        <v>47.213999999999999</v>
      </c>
      <c r="E25" s="19">
        <v>62.344999999999999</v>
      </c>
      <c r="F25" s="19">
        <v>57.689</v>
      </c>
      <c r="G25" s="19">
        <v>65.216999999999999</v>
      </c>
      <c r="H25" s="19">
        <v>60.587000000000003</v>
      </c>
      <c r="I25" s="23">
        <v>60.024000000000001</v>
      </c>
      <c r="J25" s="23">
        <v>66.466999999999999</v>
      </c>
      <c r="K25" s="3"/>
    </row>
    <row r="26" spans="3:11" x14ac:dyDescent="0.2">
      <c r="D26" s="36"/>
      <c r="E26" s="19"/>
      <c r="F26" s="19"/>
      <c r="G26" s="19"/>
      <c r="H26" s="19"/>
      <c r="I26" s="23"/>
      <c r="J26" s="23"/>
      <c r="K26" s="3"/>
    </row>
    <row r="27" spans="3:11" x14ac:dyDescent="0.2">
      <c r="C27" s="1" t="s">
        <v>229</v>
      </c>
      <c r="D27" s="36">
        <v>1003.453</v>
      </c>
      <c r="E27" s="19">
        <v>781.23699999999997</v>
      </c>
      <c r="F27" s="19">
        <v>646.01099999999997</v>
      </c>
      <c r="G27" s="19">
        <v>820.34400000000005</v>
      </c>
      <c r="H27" s="19">
        <v>843.649</v>
      </c>
      <c r="I27" s="23">
        <v>736.13499999999999</v>
      </c>
      <c r="J27" s="23">
        <v>1212.104</v>
      </c>
      <c r="K27" s="3"/>
    </row>
    <row r="28" spans="3:11" x14ac:dyDescent="0.2">
      <c r="C28" s="1" t="s">
        <v>230</v>
      </c>
      <c r="D28" s="36">
        <v>34.430999999999997</v>
      </c>
      <c r="E28" s="19">
        <v>23.867000000000001</v>
      </c>
      <c r="F28" s="19">
        <v>156.369</v>
      </c>
      <c r="G28" s="19">
        <v>60.082000000000001</v>
      </c>
      <c r="H28" s="19">
        <v>87.430999999999997</v>
      </c>
      <c r="I28" s="23">
        <v>66.084999999999994</v>
      </c>
      <c r="J28" s="23">
        <v>58.433</v>
      </c>
      <c r="K28" s="3"/>
    </row>
    <row r="29" spans="3:11" x14ac:dyDescent="0.2">
      <c r="C29" s="1" t="s">
        <v>231</v>
      </c>
      <c r="D29" s="36">
        <v>44.131999999999998</v>
      </c>
      <c r="E29" s="19">
        <v>158.976</v>
      </c>
      <c r="F29" s="19">
        <v>215.34800000000001</v>
      </c>
      <c r="G29" s="19">
        <v>218.363</v>
      </c>
      <c r="H29" s="19">
        <v>317.92</v>
      </c>
      <c r="I29" s="23">
        <v>313.12599999999998</v>
      </c>
      <c r="J29" s="23">
        <v>304.108</v>
      </c>
      <c r="K29" s="3"/>
    </row>
    <row r="30" spans="3:11" x14ac:dyDescent="0.2">
      <c r="D30" s="36"/>
      <c r="E30" s="19"/>
      <c r="F30" s="19"/>
      <c r="G30" s="19"/>
      <c r="H30" s="19"/>
      <c r="I30" s="23"/>
      <c r="J30" s="23"/>
      <c r="K30" s="3"/>
    </row>
    <row r="31" spans="3:11" x14ac:dyDescent="0.2">
      <c r="C31" s="1" t="s">
        <v>232</v>
      </c>
      <c r="D31" s="52" t="s">
        <v>27</v>
      </c>
      <c r="E31" s="29" t="s">
        <v>27</v>
      </c>
      <c r="F31" s="19">
        <v>4.5369999999999999</v>
      </c>
      <c r="G31" s="53" t="s">
        <v>198</v>
      </c>
      <c r="H31" s="53" t="s">
        <v>198</v>
      </c>
      <c r="I31" s="53" t="s">
        <v>198</v>
      </c>
      <c r="J31" s="53" t="s">
        <v>198</v>
      </c>
      <c r="K31" s="3"/>
    </row>
    <row r="32" spans="3:11" x14ac:dyDescent="0.2">
      <c r="C32" s="1" t="s">
        <v>233</v>
      </c>
      <c r="D32" s="36">
        <v>4.32</v>
      </c>
      <c r="E32" s="19">
        <v>3.8809999999999998</v>
      </c>
      <c r="F32" s="19">
        <v>0.04</v>
      </c>
      <c r="G32" s="53" t="s">
        <v>198</v>
      </c>
      <c r="H32" s="53" t="s">
        <v>198</v>
      </c>
      <c r="I32" s="53" t="s">
        <v>198</v>
      </c>
      <c r="J32" s="53" t="s">
        <v>198</v>
      </c>
      <c r="K32" s="3"/>
    </row>
    <row r="33" spans="2:11" x14ac:dyDescent="0.2">
      <c r="C33" s="1" t="s">
        <v>234</v>
      </c>
      <c r="D33" s="36">
        <v>422.19900000000001</v>
      </c>
      <c r="E33" s="19">
        <v>718.90499999999997</v>
      </c>
      <c r="F33" s="19">
        <v>411.822</v>
      </c>
      <c r="G33" s="19">
        <v>499.226</v>
      </c>
      <c r="H33" s="19">
        <v>496.40100000000001</v>
      </c>
      <c r="I33" s="23">
        <v>484.48399999999998</v>
      </c>
      <c r="J33" s="23">
        <v>461.27300000000002</v>
      </c>
      <c r="K33" s="3"/>
    </row>
    <row r="34" spans="2:11" x14ac:dyDescent="0.2">
      <c r="D34" s="36"/>
      <c r="E34" s="19"/>
      <c r="F34" s="19"/>
      <c r="G34" s="19"/>
      <c r="H34" s="19"/>
      <c r="I34" s="23"/>
      <c r="J34" s="23"/>
      <c r="K34" s="3"/>
    </row>
    <row r="35" spans="2:11" x14ac:dyDescent="0.2">
      <c r="C35" s="1" t="s">
        <v>235</v>
      </c>
      <c r="D35" s="52" t="s">
        <v>27</v>
      </c>
      <c r="E35" s="29" t="s">
        <v>27</v>
      </c>
      <c r="F35" s="19">
        <v>15.628</v>
      </c>
      <c r="G35" s="53" t="s">
        <v>198</v>
      </c>
      <c r="H35" s="53" t="s">
        <v>198</v>
      </c>
      <c r="I35" s="53" t="s">
        <v>198</v>
      </c>
      <c r="J35" s="53" t="s">
        <v>198</v>
      </c>
      <c r="K35" s="3"/>
    </row>
    <row r="36" spans="2:11" x14ac:dyDescent="0.2">
      <c r="C36" s="1" t="s">
        <v>236</v>
      </c>
      <c r="D36" s="36">
        <v>326.36</v>
      </c>
      <c r="E36" s="19">
        <v>371.64299999999997</v>
      </c>
      <c r="F36" s="19">
        <v>786.50699999999995</v>
      </c>
      <c r="G36" s="19">
        <v>897.16800000000001</v>
      </c>
      <c r="H36" s="19">
        <v>1145.9269999999999</v>
      </c>
      <c r="I36" s="23">
        <v>940.38099999999997</v>
      </c>
      <c r="J36" s="23">
        <v>818.22299999999996</v>
      </c>
      <c r="K36" s="3"/>
    </row>
    <row r="37" spans="2:11" x14ac:dyDescent="0.2">
      <c r="C37" s="1" t="s">
        <v>237</v>
      </c>
      <c r="D37" s="36">
        <v>314.12400000000002</v>
      </c>
      <c r="E37" s="19">
        <v>621.51800000000003</v>
      </c>
      <c r="F37" s="19">
        <v>906.31899999999996</v>
      </c>
      <c r="G37" s="19">
        <v>950.70600000000002</v>
      </c>
      <c r="H37" s="19">
        <v>947.78200000000004</v>
      </c>
      <c r="I37" s="23">
        <v>1011.095</v>
      </c>
      <c r="J37" s="23">
        <v>929.50699999999995</v>
      </c>
      <c r="K37" s="3"/>
    </row>
    <row r="38" spans="2:11" x14ac:dyDescent="0.2">
      <c r="D38" s="36"/>
      <c r="E38" s="19"/>
      <c r="F38" s="19"/>
      <c r="G38" s="19"/>
      <c r="H38" s="19"/>
      <c r="I38" s="23"/>
      <c r="J38" s="23"/>
      <c r="K38" s="3"/>
    </row>
    <row r="39" spans="2:11" x14ac:dyDescent="0.2">
      <c r="C39" s="1" t="s">
        <v>238</v>
      </c>
      <c r="D39" s="36">
        <v>0.33500000000000002</v>
      </c>
      <c r="E39" s="19">
        <v>0.14399999999999999</v>
      </c>
      <c r="F39" s="19">
        <v>0.14399999999999999</v>
      </c>
      <c r="G39" s="19">
        <v>0.14399999999999999</v>
      </c>
      <c r="H39" s="19">
        <v>0.14399999999999999</v>
      </c>
      <c r="I39" s="23">
        <v>0.14399999999999999</v>
      </c>
      <c r="J39" s="53" t="s">
        <v>198</v>
      </c>
      <c r="K39" s="3"/>
    </row>
    <row r="40" spans="2:11" x14ac:dyDescent="0.2">
      <c r="C40" s="1" t="s">
        <v>239</v>
      </c>
      <c r="D40" s="36">
        <v>240.14699999999999</v>
      </c>
      <c r="E40" s="19">
        <v>2.8839999999999999</v>
      </c>
      <c r="F40" s="19">
        <v>53.018999999999998</v>
      </c>
      <c r="G40" s="19">
        <v>69.064999999999998</v>
      </c>
      <c r="H40" s="19">
        <v>67.013000000000005</v>
      </c>
      <c r="I40" s="23">
        <v>70.435000000000002</v>
      </c>
      <c r="J40" s="23">
        <v>139.74299999999999</v>
      </c>
      <c r="K40" s="3"/>
    </row>
    <row r="41" spans="2:11" x14ac:dyDescent="0.2">
      <c r="C41" s="1" t="s">
        <v>240</v>
      </c>
      <c r="D41" s="36">
        <v>534.16899999999998</v>
      </c>
      <c r="E41" s="19">
        <v>99.614000000000004</v>
      </c>
      <c r="F41" s="19">
        <v>130.494</v>
      </c>
      <c r="G41" s="19">
        <v>67.069999999999993</v>
      </c>
      <c r="H41" s="19">
        <v>38.838000000000001</v>
      </c>
      <c r="I41" s="23">
        <v>67.730999999999995</v>
      </c>
      <c r="J41" s="23">
        <v>118.146</v>
      </c>
      <c r="K41" s="3"/>
    </row>
    <row r="42" spans="2:11" x14ac:dyDescent="0.2">
      <c r="D42" s="36"/>
      <c r="E42" s="19"/>
      <c r="F42" s="19"/>
      <c r="G42" s="19"/>
      <c r="H42" s="19"/>
      <c r="I42" s="23"/>
      <c r="J42" s="23"/>
      <c r="K42" s="3"/>
    </row>
    <row r="43" spans="2:11" x14ac:dyDescent="0.2">
      <c r="C43" s="1" t="s">
        <v>241</v>
      </c>
      <c r="D43" s="52" t="s">
        <v>27</v>
      </c>
      <c r="E43" s="29" t="s">
        <v>27</v>
      </c>
      <c r="F43" s="19">
        <v>120.839</v>
      </c>
      <c r="G43" s="19">
        <v>147.595</v>
      </c>
      <c r="H43" s="19">
        <v>196.447</v>
      </c>
      <c r="I43" s="23">
        <v>157.178</v>
      </c>
      <c r="J43" s="23">
        <v>146.678</v>
      </c>
      <c r="K43" s="3"/>
    </row>
    <row r="44" spans="2:11" x14ac:dyDescent="0.2">
      <c r="C44" s="1" t="s">
        <v>242</v>
      </c>
      <c r="D44" s="52" t="s">
        <v>198</v>
      </c>
      <c r="E44" s="19">
        <v>82.42</v>
      </c>
      <c r="F44" s="19">
        <v>59.017000000000003</v>
      </c>
      <c r="G44" s="19">
        <v>184.02</v>
      </c>
      <c r="H44" s="19">
        <v>150.58600000000001</v>
      </c>
      <c r="I44" s="23">
        <v>197.51499999999999</v>
      </c>
      <c r="J44" s="23">
        <v>148.99600000000001</v>
      </c>
      <c r="K44" s="3"/>
    </row>
    <row r="45" spans="2:11" x14ac:dyDescent="0.2">
      <c r="D45" s="36"/>
      <c r="E45" s="19"/>
      <c r="I45" s="3"/>
      <c r="J45" s="3"/>
      <c r="K45" s="3"/>
    </row>
    <row r="46" spans="2:11" x14ac:dyDescent="0.2">
      <c r="B46" s="4" t="s">
        <v>243</v>
      </c>
      <c r="C46" s="34"/>
      <c r="D46" s="37">
        <f t="shared" ref="D46:J46" si="2">SUM(D48:D62)-D57-D58</f>
        <v>12206.556999999999</v>
      </c>
      <c r="E46" s="34">
        <f t="shared" si="2"/>
        <v>20816.483000300002</v>
      </c>
      <c r="F46" s="34">
        <f t="shared" si="2"/>
        <v>30030.44</v>
      </c>
      <c r="G46" s="34">
        <f t="shared" si="2"/>
        <v>37715.050000000003</v>
      </c>
      <c r="H46" s="34">
        <f t="shared" si="2"/>
        <v>34981.484000000004</v>
      </c>
      <c r="I46" s="58">
        <f t="shared" si="2"/>
        <v>30573.66</v>
      </c>
      <c r="J46" s="58">
        <f t="shared" si="2"/>
        <v>30924.240999999998</v>
      </c>
      <c r="K46" s="3"/>
    </row>
    <row r="47" spans="2:11" x14ac:dyDescent="0.2">
      <c r="C47" s="1" t="s">
        <v>210</v>
      </c>
      <c r="D47" s="36"/>
      <c r="E47" s="19"/>
      <c r="I47" s="3"/>
      <c r="J47" s="3"/>
      <c r="K47" s="3"/>
    </row>
    <row r="48" spans="2:11" x14ac:dyDescent="0.2">
      <c r="C48" s="1" t="s">
        <v>244</v>
      </c>
      <c r="D48" s="36">
        <v>391.57499999999999</v>
      </c>
      <c r="E48" s="19">
        <v>5695.1</v>
      </c>
      <c r="F48" s="19">
        <v>5608.2579999999998</v>
      </c>
      <c r="G48" s="19">
        <v>11893.937</v>
      </c>
      <c r="H48" s="19">
        <v>9295.1980000000003</v>
      </c>
      <c r="I48" s="23">
        <v>7299.0110000000004</v>
      </c>
      <c r="J48" s="23">
        <v>6719.6660000000002</v>
      </c>
      <c r="K48" s="3"/>
    </row>
    <row r="49" spans="2:11" x14ac:dyDescent="0.2">
      <c r="C49" s="1" t="s">
        <v>245</v>
      </c>
      <c r="D49" s="36">
        <v>1675.471</v>
      </c>
      <c r="E49" s="19">
        <v>5688.933</v>
      </c>
      <c r="F49" s="19">
        <v>7535.3459999999995</v>
      </c>
      <c r="G49" s="19">
        <v>3086.64</v>
      </c>
      <c r="H49" s="19">
        <v>3039.6669999999999</v>
      </c>
      <c r="I49" s="23">
        <v>2957.2429999999999</v>
      </c>
      <c r="J49" s="23">
        <v>3301.32</v>
      </c>
      <c r="K49" s="3"/>
    </row>
    <row r="50" spans="2:11" x14ac:dyDescent="0.2">
      <c r="C50" s="1" t="s">
        <v>246</v>
      </c>
      <c r="D50" s="36">
        <v>290.56700000000001</v>
      </c>
      <c r="E50" s="19">
        <v>3152.8470000000002</v>
      </c>
      <c r="F50" s="19">
        <v>3780.1790000000001</v>
      </c>
      <c r="G50" s="19">
        <v>4742.7939999999999</v>
      </c>
      <c r="H50" s="19">
        <v>4924.951</v>
      </c>
      <c r="I50" s="23">
        <v>4963.3649999999998</v>
      </c>
      <c r="J50" s="23">
        <v>5425.0789999999997</v>
      </c>
      <c r="K50" s="3"/>
    </row>
    <row r="51" spans="2:11" x14ac:dyDescent="0.2">
      <c r="D51" s="36"/>
      <c r="E51" s="19"/>
      <c r="F51" s="19"/>
      <c r="G51" s="19"/>
      <c r="H51" s="19"/>
      <c r="I51" s="23"/>
      <c r="J51" s="23"/>
      <c r="K51" s="3"/>
    </row>
    <row r="52" spans="2:11" x14ac:dyDescent="0.2">
      <c r="C52" s="1" t="s">
        <v>247</v>
      </c>
      <c r="D52" s="36">
        <v>2.6</v>
      </c>
      <c r="E52" s="19">
        <v>9.9999999999999995E-8</v>
      </c>
      <c r="F52" s="19">
        <v>10.643000000000001</v>
      </c>
      <c r="G52" s="19">
        <v>12.124000000000001</v>
      </c>
      <c r="H52" s="19">
        <v>22.736000000000001</v>
      </c>
      <c r="I52" s="23">
        <v>26.74</v>
      </c>
      <c r="J52" s="23">
        <v>7.4160000000000004</v>
      </c>
      <c r="K52" s="3"/>
    </row>
    <row r="53" spans="2:11" x14ac:dyDescent="0.2">
      <c r="C53" s="1" t="s">
        <v>248</v>
      </c>
      <c r="D53" s="36">
        <v>0.34599999999999997</v>
      </c>
      <c r="E53" s="19">
        <v>9.9999999999999995E-8</v>
      </c>
      <c r="F53" s="19">
        <v>370.29399999999998</v>
      </c>
      <c r="G53" s="53" t="s">
        <v>198</v>
      </c>
      <c r="H53" s="53" t="s">
        <v>198</v>
      </c>
      <c r="I53" s="53" t="s">
        <v>198</v>
      </c>
      <c r="J53" s="53" t="s">
        <v>198</v>
      </c>
      <c r="K53" s="3"/>
    </row>
    <row r="54" spans="2:11" x14ac:dyDescent="0.2">
      <c r="C54" s="1" t="s">
        <v>249</v>
      </c>
      <c r="D54" s="36">
        <v>0.58799999999999997</v>
      </c>
      <c r="E54" s="19">
        <v>9.9999999999999995E-8</v>
      </c>
      <c r="F54" s="19">
        <v>2.7679999999999998</v>
      </c>
      <c r="G54" s="19">
        <v>29.747</v>
      </c>
      <c r="H54" s="19">
        <v>29.847000000000001</v>
      </c>
      <c r="I54" s="23">
        <v>25.594000000000001</v>
      </c>
      <c r="J54" s="23">
        <v>23.434999999999999</v>
      </c>
      <c r="K54" s="3"/>
    </row>
    <row r="55" spans="2:11" x14ac:dyDescent="0.2">
      <c r="D55" s="36"/>
      <c r="E55" s="19"/>
      <c r="F55" s="19"/>
      <c r="G55" s="19"/>
      <c r="H55" s="19"/>
      <c r="I55" s="23"/>
      <c r="J55" s="23"/>
      <c r="K55" s="3"/>
    </row>
    <row r="56" spans="2:11" x14ac:dyDescent="0.2">
      <c r="C56" s="1" t="s">
        <v>250</v>
      </c>
      <c r="D56" s="36">
        <v>9845.3799999999992</v>
      </c>
      <c r="E56" s="19">
        <v>6261.0150000000003</v>
      </c>
      <c r="F56" s="19">
        <v>4193.5129999999999</v>
      </c>
      <c r="G56" s="19">
        <v>3491.2289999999998</v>
      </c>
      <c r="H56" s="19">
        <v>3599.998</v>
      </c>
      <c r="I56" s="23">
        <v>3429.2840000000001</v>
      </c>
      <c r="J56" s="23">
        <v>3414.6610000000001</v>
      </c>
      <c r="K56" s="3"/>
    </row>
    <row r="57" spans="2:11" x14ac:dyDescent="0.2">
      <c r="C57" s="1" t="s">
        <v>251</v>
      </c>
      <c r="D57" s="36">
        <v>7213.348</v>
      </c>
      <c r="E57" s="19">
        <v>4880.902</v>
      </c>
      <c r="F57" s="19">
        <v>3268.752</v>
      </c>
      <c r="G57" s="19">
        <v>2929.5740000000001</v>
      </c>
      <c r="H57" s="19">
        <v>3132.7289999999998</v>
      </c>
      <c r="I57" s="23">
        <v>2990.8679999999999</v>
      </c>
      <c r="J57" s="23">
        <v>2926.3820000000001</v>
      </c>
      <c r="K57" s="3"/>
    </row>
    <row r="58" spans="2:11" x14ac:dyDescent="0.2">
      <c r="C58" s="1" t="s">
        <v>252</v>
      </c>
      <c r="D58" s="52" t="s">
        <v>27</v>
      </c>
      <c r="E58" s="19">
        <v>1228.047</v>
      </c>
      <c r="F58" s="19">
        <v>689.44</v>
      </c>
      <c r="G58" s="19">
        <v>176.541</v>
      </c>
      <c r="H58" s="19">
        <v>181.09200000000001</v>
      </c>
      <c r="I58" s="23">
        <v>166.57400000000001</v>
      </c>
      <c r="J58" s="23">
        <v>139.52799999999999</v>
      </c>
      <c r="K58" s="3"/>
    </row>
    <row r="59" spans="2:11" x14ac:dyDescent="0.2">
      <c r="D59" s="36"/>
      <c r="E59" s="19"/>
      <c r="F59" s="19"/>
      <c r="G59" s="19"/>
      <c r="H59" s="19"/>
      <c r="I59" s="23"/>
      <c r="J59" s="23"/>
      <c r="K59" s="3"/>
    </row>
    <row r="60" spans="2:11" x14ac:dyDescent="0.2">
      <c r="C60" s="1" t="s">
        <v>253</v>
      </c>
      <c r="D60" s="36">
        <v>0.03</v>
      </c>
      <c r="E60" s="19">
        <v>18.588000000000001</v>
      </c>
      <c r="F60" s="19">
        <v>7.46</v>
      </c>
      <c r="G60" s="19">
        <v>7.5129999999999999</v>
      </c>
      <c r="H60" s="19">
        <v>8.8390000000000004</v>
      </c>
      <c r="I60" s="23">
        <v>17.416</v>
      </c>
      <c r="J60" s="23">
        <v>13.462999999999999</v>
      </c>
      <c r="K60" s="3"/>
    </row>
    <row r="61" spans="2:11" x14ac:dyDescent="0.2">
      <c r="C61" s="1" t="s">
        <v>254</v>
      </c>
      <c r="D61" s="52" t="s">
        <v>27</v>
      </c>
      <c r="E61" s="29" t="s">
        <v>27</v>
      </c>
      <c r="F61" s="19">
        <v>8521.9789999999994</v>
      </c>
      <c r="G61" s="19">
        <v>14451.066000000001</v>
      </c>
      <c r="H61" s="19">
        <v>14060.248</v>
      </c>
      <c r="I61" s="23">
        <v>11855.007</v>
      </c>
      <c r="J61" s="23">
        <v>12019.200999999999</v>
      </c>
      <c r="K61" s="3"/>
    </row>
    <row r="62" spans="2:11" x14ac:dyDescent="0.2">
      <c r="C62" s="1" t="s">
        <v>242</v>
      </c>
      <c r="D62" s="52" t="s">
        <v>27</v>
      </c>
      <c r="E62" s="29" t="s">
        <v>27</v>
      </c>
      <c r="F62" s="53" t="s">
        <v>198</v>
      </c>
      <c r="G62" s="53" t="s">
        <v>198</v>
      </c>
      <c r="H62" s="53" t="s">
        <v>198</v>
      </c>
      <c r="I62" s="53" t="s">
        <v>198</v>
      </c>
      <c r="J62" s="53" t="s">
        <v>198</v>
      </c>
      <c r="K62" s="3"/>
    </row>
    <row r="63" spans="2:11" ht="18" thickBot="1" x14ac:dyDescent="0.25">
      <c r="B63" s="5"/>
      <c r="C63" s="5"/>
      <c r="D63" s="55"/>
      <c r="E63" s="59"/>
      <c r="F63" s="5"/>
      <c r="G63" s="59"/>
      <c r="H63" s="5"/>
      <c r="I63" s="5"/>
      <c r="J63" s="5"/>
      <c r="K63" s="3"/>
    </row>
    <row r="64" spans="2:11" x14ac:dyDescent="0.2">
      <c r="D64" s="1" t="s">
        <v>255</v>
      </c>
      <c r="K64" s="3"/>
    </row>
    <row r="65" spans="1:11" x14ac:dyDescent="0.2">
      <c r="D65" s="1" t="s">
        <v>256</v>
      </c>
      <c r="K65" s="3"/>
    </row>
    <row r="66" spans="1:11" x14ac:dyDescent="0.2">
      <c r="K66" s="3"/>
    </row>
    <row r="67" spans="1:11" x14ac:dyDescent="0.2">
      <c r="A67" s="3"/>
      <c r="B67" s="3"/>
      <c r="C67" s="3"/>
      <c r="D67" s="20" t="s">
        <v>257</v>
      </c>
      <c r="E67" s="3"/>
      <c r="F67" s="3"/>
      <c r="G67" s="3"/>
      <c r="H67" s="3"/>
      <c r="I67" s="3"/>
      <c r="J67" s="3"/>
      <c r="K67" s="3"/>
    </row>
    <row r="68" spans="1:11" x14ac:dyDescent="0.2">
      <c r="A68" s="1"/>
      <c r="K68" s="3"/>
    </row>
    <row r="69" spans="1:11" x14ac:dyDescent="0.2">
      <c r="K69" s="3"/>
    </row>
    <row r="70" spans="1:11" x14ac:dyDescent="0.2">
      <c r="K70" s="3"/>
    </row>
    <row r="71" spans="1:11" x14ac:dyDescent="0.2">
      <c r="K71" s="3"/>
    </row>
    <row r="72" spans="1:11" x14ac:dyDescent="0.2">
      <c r="K72" s="3"/>
    </row>
    <row r="73" spans="1:11" x14ac:dyDescent="0.2">
      <c r="K73" s="3"/>
    </row>
    <row r="74" spans="1:11" x14ac:dyDescent="0.2">
      <c r="K74" s="3"/>
    </row>
    <row r="75" spans="1:11" x14ac:dyDescent="0.2">
      <c r="K75" s="3"/>
    </row>
    <row r="76" spans="1:11" x14ac:dyDescent="0.2">
      <c r="K76" s="3"/>
    </row>
    <row r="77" spans="1:11" x14ac:dyDescent="0.2">
      <c r="K77" s="3"/>
    </row>
    <row r="78" spans="1:11" x14ac:dyDescent="0.2">
      <c r="K78" s="3"/>
    </row>
    <row r="79" spans="1:11" x14ac:dyDescent="0.2">
      <c r="K79" s="3"/>
    </row>
    <row r="80" spans="1:11" x14ac:dyDescent="0.2">
      <c r="K80" s="3"/>
    </row>
    <row r="81" spans="11:11" x14ac:dyDescent="0.2">
      <c r="K81" s="3"/>
    </row>
    <row r="82" spans="11:11" x14ac:dyDescent="0.2">
      <c r="K82" s="3"/>
    </row>
    <row r="83" spans="11:11" x14ac:dyDescent="0.2">
      <c r="K83" s="3"/>
    </row>
    <row r="84" spans="11:11" x14ac:dyDescent="0.2">
      <c r="K84" s="3"/>
    </row>
    <row r="85" spans="11:11" x14ac:dyDescent="0.2">
      <c r="K85" s="3"/>
    </row>
    <row r="86" spans="11:11" x14ac:dyDescent="0.2">
      <c r="K86" s="3"/>
    </row>
    <row r="87" spans="11:11" x14ac:dyDescent="0.2">
      <c r="K87" s="3"/>
    </row>
    <row r="88" spans="11:11" x14ac:dyDescent="0.2">
      <c r="K88" s="3"/>
    </row>
    <row r="89" spans="11:11" x14ac:dyDescent="0.2">
      <c r="K89" s="3"/>
    </row>
    <row r="90" spans="11:11" x14ac:dyDescent="0.2">
      <c r="K90" s="3"/>
    </row>
    <row r="91" spans="11:11" x14ac:dyDescent="0.2">
      <c r="K91" s="3"/>
    </row>
    <row r="92" spans="11:11" x14ac:dyDescent="0.2">
      <c r="K92" s="3"/>
    </row>
    <row r="93" spans="11:11" x14ac:dyDescent="0.2">
      <c r="K93" s="3"/>
    </row>
    <row r="94" spans="11:11" x14ac:dyDescent="0.2">
      <c r="K94" s="3"/>
    </row>
    <row r="95" spans="11:11" x14ac:dyDescent="0.2">
      <c r="K95" s="3"/>
    </row>
    <row r="96" spans="11:11" x14ac:dyDescent="0.2">
      <c r="K96" s="3"/>
    </row>
    <row r="97" spans="11:11" x14ac:dyDescent="0.2">
      <c r="K97" s="3"/>
    </row>
    <row r="98" spans="11:11" x14ac:dyDescent="0.2">
      <c r="K98" s="3"/>
    </row>
    <row r="99" spans="11:11" x14ac:dyDescent="0.2">
      <c r="K99" s="3"/>
    </row>
    <row r="100" spans="11:11" x14ac:dyDescent="0.2">
      <c r="K100" s="3"/>
    </row>
    <row r="101" spans="11:11" x14ac:dyDescent="0.2">
      <c r="K101" s="3"/>
    </row>
    <row r="102" spans="11:11" x14ac:dyDescent="0.2">
      <c r="K102" s="3"/>
    </row>
    <row r="103" spans="11:11" x14ac:dyDescent="0.2">
      <c r="K103" s="3"/>
    </row>
    <row r="104" spans="11:11" x14ac:dyDescent="0.2">
      <c r="K104" s="3"/>
    </row>
    <row r="105" spans="11:11" x14ac:dyDescent="0.2">
      <c r="K105" s="3"/>
    </row>
    <row r="106" spans="11:11" x14ac:dyDescent="0.2">
      <c r="K106" s="3"/>
    </row>
    <row r="107" spans="11:11" x14ac:dyDescent="0.2">
      <c r="K107" s="3"/>
    </row>
    <row r="108" spans="11:11" x14ac:dyDescent="0.2">
      <c r="K108" s="3"/>
    </row>
    <row r="109" spans="11:11" x14ac:dyDescent="0.2">
      <c r="K109" s="3"/>
    </row>
    <row r="110" spans="11:11" x14ac:dyDescent="0.2">
      <c r="K110" s="3"/>
    </row>
    <row r="111" spans="11:11" x14ac:dyDescent="0.2">
      <c r="K111" s="3"/>
    </row>
    <row r="112" spans="11:11" x14ac:dyDescent="0.2">
      <c r="K112" s="3"/>
    </row>
    <row r="113" spans="11:11" x14ac:dyDescent="0.2">
      <c r="K113" s="3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0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9.625" style="2" customWidth="1"/>
    <col min="3" max="6" width="13.375" style="2" customWidth="1"/>
    <col min="7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9.625" style="2" customWidth="1"/>
    <col min="259" max="262" width="13.375" style="2" customWidth="1"/>
    <col min="263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9.625" style="2" customWidth="1"/>
    <col min="515" max="518" width="13.375" style="2" customWidth="1"/>
    <col min="519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9.625" style="2" customWidth="1"/>
    <col min="771" max="774" width="13.375" style="2" customWidth="1"/>
    <col min="775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9.625" style="2" customWidth="1"/>
    <col min="1027" max="1030" width="13.375" style="2" customWidth="1"/>
    <col min="1031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9.625" style="2" customWidth="1"/>
    <col min="1283" max="1286" width="13.375" style="2" customWidth="1"/>
    <col min="1287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9.625" style="2" customWidth="1"/>
    <col min="1539" max="1542" width="13.375" style="2" customWidth="1"/>
    <col min="1543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9.625" style="2" customWidth="1"/>
    <col min="1795" max="1798" width="13.375" style="2" customWidth="1"/>
    <col min="1799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9.625" style="2" customWidth="1"/>
    <col min="2051" max="2054" width="13.375" style="2" customWidth="1"/>
    <col min="2055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9.625" style="2" customWidth="1"/>
    <col min="2307" max="2310" width="13.375" style="2" customWidth="1"/>
    <col min="2311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9.625" style="2" customWidth="1"/>
    <col min="2563" max="2566" width="13.375" style="2" customWidth="1"/>
    <col min="2567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9.625" style="2" customWidth="1"/>
    <col min="2819" max="2822" width="13.375" style="2" customWidth="1"/>
    <col min="2823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9.625" style="2" customWidth="1"/>
    <col min="3075" max="3078" width="13.375" style="2" customWidth="1"/>
    <col min="3079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9.625" style="2" customWidth="1"/>
    <col min="3331" max="3334" width="13.375" style="2" customWidth="1"/>
    <col min="3335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9.625" style="2" customWidth="1"/>
    <col min="3587" max="3590" width="13.375" style="2" customWidth="1"/>
    <col min="3591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9.625" style="2" customWidth="1"/>
    <col min="3843" max="3846" width="13.375" style="2" customWidth="1"/>
    <col min="3847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9.625" style="2" customWidth="1"/>
    <col min="4099" max="4102" width="13.375" style="2" customWidth="1"/>
    <col min="4103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9.625" style="2" customWidth="1"/>
    <col min="4355" max="4358" width="13.375" style="2" customWidth="1"/>
    <col min="4359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9.625" style="2" customWidth="1"/>
    <col min="4611" max="4614" width="13.375" style="2" customWidth="1"/>
    <col min="4615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9.625" style="2" customWidth="1"/>
    <col min="4867" max="4870" width="13.375" style="2" customWidth="1"/>
    <col min="4871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9.625" style="2" customWidth="1"/>
    <col min="5123" max="5126" width="13.375" style="2" customWidth="1"/>
    <col min="5127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9.625" style="2" customWidth="1"/>
    <col min="5379" max="5382" width="13.375" style="2" customWidth="1"/>
    <col min="5383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9.625" style="2" customWidth="1"/>
    <col min="5635" max="5638" width="13.375" style="2" customWidth="1"/>
    <col min="5639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9.625" style="2" customWidth="1"/>
    <col min="5891" max="5894" width="13.375" style="2" customWidth="1"/>
    <col min="5895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9.625" style="2" customWidth="1"/>
    <col min="6147" max="6150" width="13.375" style="2" customWidth="1"/>
    <col min="6151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9.625" style="2" customWidth="1"/>
    <col min="6403" max="6406" width="13.375" style="2" customWidth="1"/>
    <col min="6407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9.625" style="2" customWidth="1"/>
    <col min="6659" max="6662" width="13.375" style="2" customWidth="1"/>
    <col min="6663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9.625" style="2" customWidth="1"/>
    <col min="6915" max="6918" width="13.375" style="2" customWidth="1"/>
    <col min="6919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9.625" style="2" customWidth="1"/>
    <col min="7171" max="7174" width="13.375" style="2" customWidth="1"/>
    <col min="7175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9.625" style="2" customWidth="1"/>
    <col min="7427" max="7430" width="13.375" style="2" customWidth="1"/>
    <col min="7431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9.625" style="2" customWidth="1"/>
    <col min="7683" max="7686" width="13.375" style="2" customWidth="1"/>
    <col min="7687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9.625" style="2" customWidth="1"/>
    <col min="7939" max="7942" width="13.375" style="2" customWidth="1"/>
    <col min="7943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9.625" style="2" customWidth="1"/>
    <col min="8195" max="8198" width="13.375" style="2" customWidth="1"/>
    <col min="8199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9.625" style="2" customWidth="1"/>
    <col min="8451" max="8454" width="13.375" style="2" customWidth="1"/>
    <col min="8455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9.625" style="2" customWidth="1"/>
    <col min="8707" max="8710" width="13.375" style="2" customWidth="1"/>
    <col min="8711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9.625" style="2" customWidth="1"/>
    <col min="8963" max="8966" width="13.375" style="2" customWidth="1"/>
    <col min="8967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9.625" style="2" customWidth="1"/>
    <col min="9219" max="9222" width="13.375" style="2" customWidth="1"/>
    <col min="9223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9.625" style="2" customWidth="1"/>
    <col min="9475" max="9478" width="13.375" style="2" customWidth="1"/>
    <col min="9479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9.625" style="2" customWidth="1"/>
    <col min="9731" max="9734" width="13.375" style="2" customWidth="1"/>
    <col min="9735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9.625" style="2" customWidth="1"/>
    <col min="9987" max="9990" width="13.375" style="2" customWidth="1"/>
    <col min="9991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9.625" style="2" customWidth="1"/>
    <col min="10243" max="10246" width="13.375" style="2" customWidth="1"/>
    <col min="10247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9.625" style="2" customWidth="1"/>
    <col min="10499" max="10502" width="13.375" style="2" customWidth="1"/>
    <col min="10503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9.625" style="2" customWidth="1"/>
    <col min="10755" max="10758" width="13.375" style="2" customWidth="1"/>
    <col min="10759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9.625" style="2" customWidth="1"/>
    <col min="11011" max="11014" width="13.375" style="2" customWidth="1"/>
    <col min="11015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9.625" style="2" customWidth="1"/>
    <col min="11267" max="11270" width="13.375" style="2" customWidth="1"/>
    <col min="11271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9.625" style="2" customWidth="1"/>
    <col min="11523" max="11526" width="13.375" style="2" customWidth="1"/>
    <col min="11527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9.625" style="2" customWidth="1"/>
    <col min="11779" max="11782" width="13.375" style="2" customWidth="1"/>
    <col min="11783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9.625" style="2" customWidth="1"/>
    <col min="12035" max="12038" width="13.375" style="2" customWidth="1"/>
    <col min="12039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9.625" style="2" customWidth="1"/>
    <col min="12291" max="12294" width="13.375" style="2" customWidth="1"/>
    <col min="12295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9.625" style="2" customWidth="1"/>
    <col min="12547" max="12550" width="13.375" style="2" customWidth="1"/>
    <col min="12551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9.625" style="2" customWidth="1"/>
    <col min="12803" max="12806" width="13.375" style="2" customWidth="1"/>
    <col min="12807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9.625" style="2" customWidth="1"/>
    <col min="13059" max="13062" width="13.375" style="2" customWidth="1"/>
    <col min="13063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9.625" style="2" customWidth="1"/>
    <col min="13315" max="13318" width="13.375" style="2" customWidth="1"/>
    <col min="13319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9.625" style="2" customWidth="1"/>
    <col min="13571" max="13574" width="13.375" style="2" customWidth="1"/>
    <col min="13575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9.625" style="2" customWidth="1"/>
    <col min="13827" max="13830" width="13.375" style="2" customWidth="1"/>
    <col min="13831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9.625" style="2" customWidth="1"/>
    <col min="14083" max="14086" width="13.375" style="2" customWidth="1"/>
    <col min="14087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9.625" style="2" customWidth="1"/>
    <col min="14339" max="14342" width="13.375" style="2" customWidth="1"/>
    <col min="14343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9.625" style="2" customWidth="1"/>
    <col min="14595" max="14598" width="13.375" style="2" customWidth="1"/>
    <col min="14599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9.625" style="2" customWidth="1"/>
    <col min="14851" max="14854" width="13.375" style="2" customWidth="1"/>
    <col min="14855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9.625" style="2" customWidth="1"/>
    <col min="15107" max="15110" width="13.375" style="2" customWidth="1"/>
    <col min="15111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9.625" style="2" customWidth="1"/>
    <col min="15363" max="15366" width="13.375" style="2" customWidth="1"/>
    <col min="15367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9.625" style="2" customWidth="1"/>
    <col min="15619" max="15622" width="13.375" style="2" customWidth="1"/>
    <col min="15623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9.625" style="2" customWidth="1"/>
    <col min="15875" max="15878" width="13.375" style="2" customWidth="1"/>
    <col min="15879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9.625" style="2" customWidth="1"/>
    <col min="16131" max="16134" width="13.375" style="2" customWidth="1"/>
    <col min="16135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4" t="s">
        <v>258</v>
      </c>
    </row>
    <row r="7" spans="1:11" ht="18" thickBot="1" x14ac:dyDescent="0.25">
      <c r="B7" s="5"/>
      <c r="C7" s="5"/>
      <c r="D7" s="31"/>
      <c r="E7" s="5"/>
      <c r="F7" s="31"/>
      <c r="G7" s="31"/>
      <c r="H7" s="31"/>
      <c r="I7" s="31"/>
      <c r="J7" s="35" t="s">
        <v>259</v>
      </c>
      <c r="K7" s="5"/>
    </row>
    <row r="8" spans="1:11" x14ac:dyDescent="0.2">
      <c r="C8" s="9"/>
      <c r="D8" s="34"/>
      <c r="F8" s="34"/>
      <c r="G8" s="34"/>
      <c r="H8" s="34"/>
      <c r="I8" s="34"/>
      <c r="J8" s="34"/>
    </row>
    <row r="9" spans="1:11" x14ac:dyDescent="0.2">
      <c r="C9" s="9"/>
      <c r="D9" s="7"/>
      <c r="E9" s="8" t="s">
        <v>260</v>
      </c>
      <c r="F9" s="7"/>
      <c r="G9" s="7"/>
      <c r="H9" s="7"/>
      <c r="I9" s="7"/>
      <c r="J9" s="7"/>
      <c r="K9" s="7"/>
    </row>
    <row r="10" spans="1:11" x14ac:dyDescent="0.2">
      <c r="C10" s="10" t="s">
        <v>261</v>
      </c>
      <c r="D10" s="9"/>
      <c r="E10" s="9"/>
      <c r="F10" s="11" t="s">
        <v>262</v>
      </c>
      <c r="G10" s="9"/>
      <c r="H10" s="9"/>
      <c r="I10" s="9"/>
      <c r="J10" s="9"/>
      <c r="K10" s="11" t="s">
        <v>263</v>
      </c>
    </row>
    <row r="11" spans="1:11" x14ac:dyDescent="0.2">
      <c r="B11" s="7"/>
      <c r="C11" s="6"/>
      <c r="D11" s="13" t="s">
        <v>264</v>
      </c>
      <c r="E11" s="12" t="s">
        <v>265</v>
      </c>
      <c r="F11" s="12" t="s">
        <v>266</v>
      </c>
      <c r="G11" s="12" t="s">
        <v>267</v>
      </c>
      <c r="H11" s="12" t="s">
        <v>268</v>
      </c>
      <c r="I11" s="12" t="s">
        <v>269</v>
      </c>
      <c r="J11" s="12" t="s">
        <v>270</v>
      </c>
      <c r="K11" s="12" t="s">
        <v>242</v>
      </c>
    </row>
    <row r="12" spans="1:11" x14ac:dyDescent="0.2">
      <c r="B12" s="34"/>
      <c r="C12" s="9"/>
    </row>
    <row r="13" spans="1:11" x14ac:dyDescent="0.2">
      <c r="B13" s="1" t="s">
        <v>271</v>
      </c>
      <c r="C13" s="41">
        <f>SUM(D13:K13)</f>
        <v>20524.199999999997</v>
      </c>
      <c r="D13" s="19">
        <f>20148-0.4</f>
        <v>20147.599999999999</v>
      </c>
      <c r="E13" s="53" t="s">
        <v>198</v>
      </c>
      <c r="F13" s="19">
        <f>249-0.4</f>
        <v>248.6</v>
      </c>
      <c r="G13" s="19">
        <v>124</v>
      </c>
      <c r="H13" s="53" t="s">
        <v>198</v>
      </c>
      <c r="I13" s="53" t="s">
        <v>198</v>
      </c>
      <c r="J13" s="53" t="s">
        <v>198</v>
      </c>
      <c r="K13" s="19">
        <v>4</v>
      </c>
    </row>
    <row r="14" spans="1:11" x14ac:dyDescent="0.2">
      <c r="B14" s="1" t="s">
        <v>272</v>
      </c>
      <c r="C14" s="41">
        <f>SUM(D14:K14)-3</f>
        <v>11903.02</v>
      </c>
      <c r="D14" s="19">
        <v>11473</v>
      </c>
      <c r="E14" s="53" t="s">
        <v>198</v>
      </c>
      <c r="F14" s="19">
        <v>197</v>
      </c>
      <c r="G14" s="19">
        <v>226</v>
      </c>
      <c r="H14" s="53" t="s">
        <v>198</v>
      </c>
      <c r="I14" s="19">
        <v>0.02</v>
      </c>
      <c r="J14" s="53" t="s">
        <v>198</v>
      </c>
      <c r="K14" s="19">
        <v>10</v>
      </c>
    </row>
    <row r="15" spans="1:11" x14ac:dyDescent="0.2">
      <c r="B15" s="1" t="s">
        <v>273</v>
      </c>
      <c r="C15" s="41">
        <f>SUM(D15:K15)</f>
        <v>10123.719999999999</v>
      </c>
      <c r="D15" s="19">
        <v>9156.4</v>
      </c>
      <c r="E15" s="53" t="s">
        <v>198</v>
      </c>
      <c r="F15" s="19">
        <v>333.3</v>
      </c>
      <c r="G15" s="19">
        <v>439</v>
      </c>
      <c r="H15" s="53" t="s">
        <v>198</v>
      </c>
      <c r="I15" s="19">
        <v>0.02</v>
      </c>
      <c r="J15" s="53" t="s">
        <v>198</v>
      </c>
      <c r="K15" s="19">
        <v>195</v>
      </c>
    </row>
    <row r="16" spans="1:11" x14ac:dyDescent="0.2">
      <c r="C16" s="9"/>
    </row>
    <row r="17" spans="1:11" x14ac:dyDescent="0.2">
      <c r="B17" s="1" t="s">
        <v>274</v>
      </c>
      <c r="C17" s="41">
        <f>SUM(D17:K17)</f>
        <v>10459.02</v>
      </c>
      <c r="D17" s="19">
        <v>9408</v>
      </c>
      <c r="E17" s="53" t="s">
        <v>198</v>
      </c>
      <c r="F17" s="19">
        <v>276</v>
      </c>
      <c r="G17" s="19">
        <v>593</v>
      </c>
      <c r="H17" s="53" t="s">
        <v>198</v>
      </c>
      <c r="I17" s="19">
        <v>0.02</v>
      </c>
      <c r="J17" s="53" t="s">
        <v>198</v>
      </c>
      <c r="K17" s="19">
        <v>182</v>
      </c>
    </row>
    <row r="18" spans="1:11" x14ac:dyDescent="0.2">
      <c r="B18" s="1" t="s">
        <v>275</v>
      </c>
      <c r="C18" s="41">
        <f>SUM(D18:K18)</f>
        <v>11881</v>
      </c>
      <c r="D18" s="19">
        <v>9936</v>
      </c>
      <c r="E18" s="53" t="s">
        <v>198</v>
      </c>
      <c r="F18" s="19">
        <v>326</v>
      </c>
      <c r="G18" s="19">
        <v>1394</v>
      </c>
      <c r="H18" s="53" t="s">
        <v>198</v>
      </c>
      <c r="I18" s="19">
        <v>3</v>
      </c>
      <c r="J18" s="53" t="s">
        <v>198</v>
      </c>
      <c r="K18" s="19">
        <v>222</v>
      </c>
    </row>
    <row r="19" spans="1:11" x14ac:dyDescent="0.2">
      <c r="B19" s="1" t="s">
        <v>276</v>
      </c>
      <c r="C19" s="41">
        <f>SUM(D19:K19)</f>
        <v>12376.2</v>
      </c>
      <c r="D19" s="19">
        <v>9337.6</v>
      </c>
      <c r="E19" s="53" t="s">
        <v>198</v>
      </c>
      <c r="F19" s="19">
        <v>318.60000000000002</v>
      </c>
      <c r="G19" s="19">
        <v>2359</v>
      </c>
      <c r="H19" s="53" t="s">
        <v>198</v>
      </c>
      <c r="I19" s="19">
        <v>4</v>
      </c>
      <c r="J19" s="53" t="s">
        <v>198</v>
      </c>
      <c r="K19" s="19">
        <v>357</v>
      </c>
    </row>
    <row r="20" spans="1:11" x14ac:dyDescent="0.2">
      <c r="C20" s="9"/>
    </row>
    <row r="21" spans="1:11" x14ac:dyDescent="0.2">
      <c r="A21" s="34"/>
      <c r="B21" s="1" t="s">
        <v>277</v>
      </c>
      <c r="C21" s="41">
        <f>SUM(D21:K21)</f>
        <v>11302</v>
      </c>
      <c r="D21" s="19">
        <v>8633</v>
      </c>
      <c r="E21" s="53" t="s">
        <v>198</v>
      </c>
      <c r="F21" s="19">
        <v>77</v>
      </c>
      <c r="G21" s="19">
        <v>2166</v>
      </c>
      <c r="H21" s="53" t="s">
        <v>198</v>
      </c>
      <c r="I21" s="19">
        <v>5</v>
      </c>
      <c r="J21" s="53" t="s">
        <v>198</v>
      </c>
      <c r="K21" s="19">
        <v>421</v>
      </c>
    </row>
    <row r="22" spans="1:11" x14ac:dyDescent="0.2">
      <c r="A22" s="34"/>
      <c r="B22" s="1" t="s">
        <v>278</v>
      </c>
      <c r="C22" s="41">
        <f>SUM(D22:K22)</f>
        <v>10774</v>
      </c>
      <c r="D22" s="19">
        <v>8050</v>
      </c>
      <c r="E22" s="53" t="s">
        <v>198</v>
      </c>
      <c r="F22" s="19">
        <v>316</v>
      </c>
      <c r="G22" s="19">
        <v>1862</v>
      </c>
      <c r="H22" s="53" t="s">
        <v>198</v>
      </c>
      <c r="I22" s="19">
        <v>5</v>
      </c>
      <c r="J22" s="53" t="s">
        <v>198</v>
      </c>
      <c r="K22" s="19">
        <v>541</v>
      </c>
    </row>
    <row r="23" spans="1:11" x14ac:dyDescent="0.2">
      <c r="A23" s="34"/>
      <c r="B23" s="1" t="s">
        <v>279</v>
      </c>
      <c r="C23" s="41">
        <f>SUM(D23:K23)</f>
        <v>8624</v>
      </c>
      <c r="D23" s="19">
        <v>7612</v>
      </c>
      <c r="E23" s="53" t="s">
        <v>198</v>
      </c>
      <c r="F23" s="19">
        <v>86</v>
      </c>
      <c r="G23" s="19">
        <v>463</v>
      </c>
      <c r="H23" s="53" t="s">
        <v>198</v>
      </c>
      <c r="I23" s="19">
        <v>6</v>
      </c>
      <c r="J23" s="53" t="s">
        <v>198</v>
      </c>
      <c r="K23" s="19">
        <v>457</v>
      </c>
    </row>
    <row r="24" spans="1:11" x14ac:dyDescent="0.2">
      <c r="C24" s="9"/>
    </row>
    <row r="25" spans="1:11" x14ac:dyDescent="0.2">
      <c r="A25" s="34"/>
      <c r="B25" s="1" t="s">
        <v>280</v>
      </c>
      <c r="C25" s="41">
        <f>SUM(D25:K25)</f>
        <v>8821.7000000000007</v>
      </c>
      <c r="D25" s="19">
        <v>7086</v>
      </c>
      <c r="E25" s="53" t="s">
        <v>198</v>
      </c>
      <c r="F25" s="19">
        <v>142.69999999999999</v>
      </c>
      <c r="G25" s="19">
        <v>346</v>
      </c>
      <c r="H25" s="53" t="s">
        <v>198</v>
      </c>
      <c r="I25" s="19">
        <v>14</v>
      </c>
      <c r="J25" s="53" t="s">
        <v>198</v>
      </c>
      <c r="K25" s="19">
        <v>1233</v>
      </c>
    </row>
    <row r="26" spans="1:11" x14ac:dyDescent="0.2">
      <c r="A26" s="34"/>
      <c r="B26" s="1" t="s">
        <v>281</v>
      </c>
      <c r="C26" s="41">
        <f>SUM(D26:K26)</f>
        <v>9793</v>
      </c>
      <c r="D26" s="19">
        <v>7256</v>
      </c>
      <c r="E26" s="53" t="s">
        <v>198</v>
      </c>
      <c r="F26" s="19">
        <v>191</v>
      </c>
      <c r="G26" s="19">
        <v>443</v>
      </c>
      <c r="H26" s="53" t="s">
        <v>198</v>
      </c>
      <c r="I26" s="19">
        <v>11</v>
      </c>
      <c r="J26" s="53" t="s">
        <v>198</v>
      </c>
      <c r="K26" s="19">
        <v>1892</v>
      </c>
    </row>
    <row r="27" spans="1:11" x14ac:dyDescent="0.2">
      <c r="B27" s="1" t="s">
        <v>282</v>
      </c>
      <c r="C27" s="41">
        <f>SUM(D27:K27)</f>
        <v>11138</v>
      </c>
      <c r="D27" s="19">
        <v>7088</v>
      </c>
      <c r="E27" s="53" t="s">
        <v>198</v>
      </c>
      <c r="F27" s="19">
        <v>70</v>
      </c>
      <c r="G27" s="19">
        <v>963</v>
      </c>
      <c r="H27" s="53" t="s">
        <v>198</v>
      </c>
      <c r="I27" s="19">
        <v>21</v>
      </c>
      <c r="J27" s="53" t="s">
        <v>198</v>
      </c>
      <c r="K27" s="19">
        <v>2996</v>
      </c>
    </row>
    <row r="28" spans="1:11" x14ac:dyDescent="0.2">
      <c r="C28" s="9"/>
    </row>
    <row r="29" spans="1:11" x14ac:dyDescent="0.2">
      <c r="B29" s="1" t="s">
        <v>283</v>
      </c>
      <c r="C29" s="41">
        <f>SUM(D29:K29)+3</f>
        <v>14011</v>
      </c>
      <c r="D29" s="19">
        <v>9846</v>
      </c>
      <c r="E29" s="53" t="s">
        <v>198</v>
      </c>
      <c r="F29" s="19">
        <v>104</v>
      </c>
      <c r="G29" s="19">
        <v>794</v>
      </c>
      <c r="H29" s="53" t="s">
        <v>198</v>
      </c>
      <c r="I29" s="19">
        <v>37</v>
      </c>
      <c r="J29" s="53" t="s">
        <v>198</v>
      </c>
      <c r="K29" s="19">
        <v>3227</v>
      </c>
    </row>
    <row r="30" spans="1:11" x14ac:dyDescent="0.2">
      <c r="B30" s="1" t="s">
        <v>284</v>
      </c>
      <c r="C30" s="41">
        <f>SUM(D30:K30)</f>
        <v>13160</v>
      </c>
      <c r="D30" s="19">
        <v>7007</v>
      </c>
      <c r="E30" s="53" t="s">
        <v>198</v>
      </c>
      <c r="F30" s="19">
        <v>125</v>
      </c>
      <c r="G30" s="19">
        <v>1806</v>
      </c>
      <c r="H30" s="19">
        <v>65</v>
      </c>
      <c r="I30" s="19">
        <v>37</v>
      </c>
      <c r="J30" s="53" t="s">
        <v>198</v>
      </c>
      <c r="K30" s="19">
        <v>4120</v>
      </c>
    </row>
    <row r="31" spans="1:11" x14ac:dyDescent="0.2">
      <c r="B31" s="4" t="s">
        <v>285</v>
      </c>
      <c r="C31" s="37">
        <f>SUM(D31:K31)</f>
        <v>12655.599999999999</v>
      </c>
      <c r="D31" s="51">
        <f>6396+0.4</f>
        <v>6396.4</v>
      </c>
      <c r="E31" s="54" t="s">
        <v>198</v>
      </c>
      <c r="F31" s="51">
        <f>88+0.4</f>
        <v>88.4</v>
      </c>
      <c r="G31" s="51">
        <f>1895+0.4</f>
        <v>1895.4</v>
      </c>
      <c r="H31" s="51">
        <f>167+0.4</f>
        <v>167.4</v>
      </c>
      <c r="I31" s="51">
        <v>47</v>
      </c>
      <c r="J31" s="54" t="s">
        <v>198</v>
      </c>
      <c r="K31" s="51">
        <v>4061</v>
      </c>
    </row>
    <row r="32" spans="1:11" ht="18" thickBot="1" x14ac:dyDescent="0.25">
      <c r="A32" s="34"/>
      <c r="B32" s="5"/>
      <c r="C32" s="38"/>
      <c r="D32" s="5"/>
      <c r="E32" s="5"/>
      <c r="F32" s="5"/>
      <c r="G32" s="5"/>
      <c r="H32" s="5"/>
      <c r="I32" s="5"/>
      <c r="J32" s="5"/>
      <c r="K32" s="5"/>
    </row>
    <row r="33" spans="2:11" x14ac:dyDescent="0.2">
      <c r="C33" s="9"/>
    </row>
    <row r="34" spans="2:11" x14ac:dyDescent="0.2">
      <c r="C34" s="9"/>
      <c r="D34" s="7"/>
      <c r="E34" s="8" t="s">
        <v>286</v>
      </c>
      <c r="F34" s="7"/>
      <c r="G34" s="7"/>
      <c r="H34" s="7"/>
      <c r="I34" s="7"/>
      <c r="J34" s="7"/>
      <c r="K34" s="7"/>
    </row>
    <row r="35" spans="2:11" x14ac:dyDescent="0.2">
      <c r="C35" s="10" t="s">
        <v>287</v>
      </c>
      <c r="D35" s="9"/>
      <c r="E35" s="9"/>
      <c r="F35" s="11" t="s">
        <v>262</v>
      </c>
      <c r="G35" s="9"/>
      <c r="H35" s="9"/>
      <c r="I35" s="9"/>
      <c r="J35" s="9"/>
      <c r="K35" s="11" t="s">
        <v>263</v>
      </c>
    </row>
    <row r="36" spans="2:11" x14ac:dyDescent="0.2">
      <c r="B36" s="7"/>
      <c r="C36" s="6"/>
      <c r="D36" s="13" t="s">
        <v>264</v>
      </c>
      <c r="E36" s="12" t="s">
        <v>265</v>
      </c>
      <c r="F36" s="12" t="s">
        <v>266</v>
      </c>
      <c r="G36" s="12" t="s">
        <v>267</v>
      </c>
      <c r="H36" s="12" t="s">
        <v>268</v>
      </c>
      <c r="I36" s="12" t="s">
        <v>269</v>
      </c>
      <c r="J36" s="12" t="s">
        <v>270</v>
      </c>
      <c r="K36" s="12" t="s">
        <v>242</v>
      </c>
    </row>
    <row r="37" spans="2:11" x14ac:dyDescent="0.2">
      <c r="C37" s="9"/>
    </row>
    <row r="38" spans="2:11" x14ac:dyDescent="0.2">
      <c r="B38" s="1" t="s">
        <v>271</v>
      </c>
      <c r="C38" s="41">
        <f>SUM(D38:K38)</f>
        <v>55543.199999999997</v>
      </c>
      <c r="D38" s="19">
        <f>17765-0.4</f>
        <v>17764.599999999999</v>
      </c>
      <c r="E38" s="19">
        <f>71-0.4</f>
        <v>70.599999999999994</v>
      </c>
      <c r="F38" s="19">
        <v>448</v>
      </c>
      <c r="G38" s="19">
        <v>503</v>
      </c>
      <c r="H38" s="19">
        <v>35269</v>
      </c>
      <c r="I38" s="19">
        <v>316</v>
      </c>
      <c r="J38" s="19">
        <v>968</v>
      </c>
      <c r="K38" s="19">
        <v>204</v>
      </c>
    </row>
    <row r="39" spans="2:11" x14ac:dyDescent="0.2">
      <c r="B39" s="1" t="s">
        <v>272</v>
      </c>
      <c r="C39" s="41">
        <f>SUM(D39:K39)</f>
        <v>61567</v>
      </c>
      <c r="D39" s="19">
        <v>17961</v>
      </c>
      <c r="E39" s="19">
        <v>74</v>
      </c>
      <c r="F39" s="19">
        <v>482</v>
      </c>
      <c r="G39" s="19">
        <v>754</v>
      </c>
      <c r="H39" s="19">
        <v>40027</v>
      </c>
      <c r="I39" s="19">
        <v>294</v>
      </c>
      <c r="J39" s="19">
        <v>1805</v>
      </c>
      <c r="K39" s="19">
        <v>170</v>
      </c>
    </row>
    <row r="40" spans="2:11" x14ac:dyDescent="0.2">
      <c r="B40" s="1" t="s">
        <v>273</v>
      </c>
      <c r="C40" s="41">
        <f>SUM(D40:K40)</f>
        <v>65049.399999999994</v>
      </c>
      <c r="D40" s="19">
        <v>15195</v>
      </c>
      <c r="E40" s="19">
        <v>91</v>
      </c>
      <c r="F40" s="19">
        <v>1984</v>
      </c>
      <c r="G40" s="19">
        <v>913</v>
      </c>
      <c r="H40" s="19">
        <f>44304-0.4</f>
        <v>44303.6</v>
      </c>
      <c r="I40" s="19">
        <f>286-0.4</f>
        <v>285.60000000000002</v>
      </c>
      <c r="J40" s="19">
        <f>1521-0.4</f>
        <v>1520.6</v>
      </c>
      <c r="K40" s="19">
        <v>756.6</v>
      </c>
    </row>
    <row r="41" spans="2:11" x14ac:dyDescent="0.2">
      <c r="C41" s="9"/>
    </row>
    <row r="42" spans="2:11" x14ac:dyDescent="0.2">
      <c r="B42" s="1" t="s">
        <v>274</v>
      </c>
      <c r="C42" s="41">
        <f>SUM(D42:K42)</f>
        <v>67540.600000000006</v>
      </c>
      <c r="D42" s="19">
        <f>15657+0.4</f>
        <v>15657.4</v>
      </c>
      <c r="E42" s="19">
        <f>105+0.4</f>
        <v>105.4</v>
      </c>
      <c r="F42" s="19">
        <f>1729+0.4</f>
        <v>1729.4</v>
      </c>
      <c r="G42" s="19">
        <f>892+0.4</f>
        <v>892.4</v>
      </c>
      <c r="H42" s="19">
        <v>46530</v>
      </c>
      <c r="I42" s="19">
        <v>298</v>
      </c>
      <c r="J42" s="19">
        <v>1627</v>
      </c>
      <c r="K42" s="19">
        <v>701</v>
      </c>
    </row>
    <row r="43" spans="2:11" x14ac:dyDescent="0.2">
      <c r="B43" s="1" t="s">
        <v>275</v>
      </c>
      <c r="C43" s="41">
        <f>SUM(D43:K43)</f>
        <v>68301.2</v>
      </c>
      <c r="D43" s="19">
        <f>15499-0.4</f>
        <v>15498.6</v>
      </c>
      <c r="E43" s="19">
        <f>110-0.4</f>
        <v>109.6</v>
      </c>
      <c r="F43" s="19">
        <v>1508</v>
      </c>
      <c r="G43" s="19">
        <v>921</v>
      </c>
      <c r="H43" s="19">
        <v>47606</v>
      </c>
      <c r="I43" s="19">
        <v>358</v>
      </c>
      <c r="J43" s="19">
        <v>1610</v>
      </c>
      <c r="K43" s="19">
        <v>690</v>
      </c>
    </row>
    <row r="44" spans="2:11" x14ac:dyDescent="0.2">
      <c r="B44" s="1" t="s">
        <v>276</v>
      </c>
      <c r="C44" s="41">
        <f>SUM(D44:K44)-1</f>
        <v>70809.800000000017</v>
      </c>
      <c r="D44" s="19">
        <f>15627-0.4</f>
        <v>15626.6</v>
      </c>
      <c r="E44" s="19">
        <f>117-0.4</f>
        <v>116.6</v>
      </c>
      <c r="F44" s="19">
        <f>1561-0.4</f>
        <v>1560.6</v>
      </c>
      <c r="G44" s="19">
        <f>935-0.4</f>
        <v>934.6</v>
      </c>
      <c r="H44" s="19">
        <f>49840-0.4</f>
        <v>49839.6</v>
      </c>
      <c r="I44" s="19">
        <f>403-0.4</f>
        <v>402.6</v>
      </c>
      <c r="J44" s="19">
        <f>1634-0.4</f>
        <v>1633.6</v>
      </c>
      <c r="K44" s="19">
        <v>696.6</v>
      </c>
    </row>
    <row r="45" spans="2:11" x14ac:dyDescent="0.2">
      <c r="C45" s="9"/>
    </row>
    <row r="46" spans="2:11" x14ac:dyDescent="0.2">
      <c r="B46" s="1" t="s">
        <v>277</v>
      </c>
      <c r="C46" s="41">
        <f>SUM(D46:K46)</f>
        <v>73701.2</v>
      </c>
      <c r="D46" s="19">
        <f>14984-0.4</f>
        <v>14983.6</v>
      </c>
      <c r="E46" s="19">
        <f>116-0.4</f>
        <v>115.6</v>
      </c>
      <c r="F46" s="19">
        <v>1304</v>
      </c>
      <c r="G46" s="19">
        <v>938</v>
      </c>
      <c r="H46" s="19">
        <v>53428</v>
      </c>
      <c r="I46" s="19">
        <v>461</v>
      </c>
      <c r="J46" s="19">
        <v>1610</v>
      </c>
      <c r="K46" s="19">
        <v>861</v>
      </c>
    </row>
    <row r="47" spans="2:11" x14ac:dyDescent="0.2">
      <c r="B47" s="1" t="s">
        <v>278</v>
      </c>
      <c r="C47" s="41">
        <f>SUM(D47:K47)</f>
        <v>76897.600000000006</v>
      </c>
      <c r="D47" s="19">
        <f>15051+0.4</f>
        <v>15051.4</v>
      </c>
      <c r="E47" s="19">
        <f>122+0.4</f>
        <v>122.4</v>
      </c>
      <c r="F47" s="19">
        <f>1382+0.4</f>
        <v>1382.4</v>
      </c>
      <c r="G47" s="19">
        <f>952+0.4</f>
        <v>952.4</v>
      </c>
      <c r="H47" s="19">
        <v>56180</v>
      </c>
      <c r="I47" s="19">
        <v>476</v>
      </c>
      <c r="J47" s="19">
        <v>1574</v>
      </c>
      <c r="K47" s="19">
        <v>1159</v>
      </c>
    </row>
    <row r="48" spans="2:11" x14ac:dyDescent="0.2">
      <c r="B48" s="1" t="s">
        <v>279</v>
      </c>
      <c r="C48" s="41">
        <f>SUM(D48:K48)</f>
        <v>78716.2</v>
      </c>
      <c r="D48" s="19">
        <f>14784-0.4</f>
        <v>14783.6</v>
      </c>
      <c r="E48" s="19">
        <f>136-0.4</f>
        <v>135.6</v>
      </c>
      <c r="F48" s="19">
        <v>1346</v>
      </c>
      <c r="G48" s="19">
        <v>1010</v>
      </c>
      <c r="H48" s="19">
        <v>58311</v>
      </c>
      <c r="I48" s="19">
        <v>443</v>
      </c>
      <c r="J48" s="19">
        <v>1471</v>
      </c>
      <c r="K48" s="19">
        <v>1216</v>
      </c>
    </row>
    <row r="49" spans="1:11" x14ac:dyDescent="0.2">
      <c r="C49" s="9"/>
    </row>
    <row r="50" spans="1:11" x14ac:dyDescent="0.2">
      <c r="B50" s="1" t="s">
        <v>280</v>
      </c>
      <c r="C50" s="41">
        <f>SUM(D50:K50)</f>
        <v>78465.8</v>
      </c>
      <c r="D50" s="19">
        <f>14666+0.4</f>
        <v>14666.4</v>
      </c>
      <c r="E50" s="19">
        <f>162+0.4</f>
        <v>162.4</v>
      </c>
      <c r="F50" s="19">
        <v>1406</v>
      </c>
      <c r="G50" s="19">
        <v>987</v>
      </c>
      <c r="H50" s="19">
        <v>58200</v>
      </c>
      <c r="I50" s="19">
        <v>420</v>
      </c>
      <c r="J50" s="19">
        <v>1398</v>
      </c>
      <c r="K50" s="19">
        <v>1226</v>
      </c>
    </row>
    <row r="51" spans="1:11" x14ac:dyDescent="0.2">
      <c r="B51" s="1" t="s">
        <v>281</v>
      </c>
      <c r="C51" s="41">
        <f>SUM(D51:K51)+3</f>
        <v>80938</v>
      </c>
      <c r="D51" s="19">
        <v>14999</v>
      </c>
      <c r="E51" s="19">
        <v>253</v>
      </c>
      <c r="F51" s="19">
        <v>1675</v>
      </c>
      <c r="G51" s="19">
        <v>1336</v>
      </c>
      <c r="H51" s="19">
        <v>59197</v>
      </c>
      <c r="I51" s="19">
        <v>523</v>
      </c>
      <c r="J51" s="19">
        <v>1521</v>
      </c>
      <c r="K51" s="19">
        <v>1431</v>
      </c>
    </row>
    <row r="52" spans="1:11" x14ac:dyDescent="0.2">
      <c r="B52" s="1" t="s">
        <v>282</v>
      </c>
      <c r="C52" s="41">
        <f>SUM(D52:K52)</f>
        <v>84262</v>
      </c>
      <c r="D52" s="19">
        <v>13726</v>
      </c>
      <c r="E52" s="19">
        <v>309</v>
      </c>
      <c r="F52" s="19">
        <v>1797</v>
      </c>
      <c r="G52" s="19">
        <v>1093</v>
      </c>
      <c r="H52" s="19">
        <v>63469</v>
      </c>
      <c r="I52" s="19">
        <v>577</v>
      </c>
      <c r="J52" s="19">
        <v>1384</v>
      </c>
      <c r="K52" s="19">
        <v>1907</v>
      </c>
    </row>
    <row r="53" spans="1:11" x14ac:dyDescent="0.2">
      <c r="C53" s="9"/>
    </row>
    <row r="54" spans="1:11" x14ac:dyDescent="0.2">
      <c r="B54" s="1" t="s">
        <v>283</v>
      </c>
      <c r="C54" s="41">
        <f>SUM(D54:K54)+2</f>
        <v>84834</v>
      </c>
      <c r="D54" s="19">
        <v>13976</v>
      </c>
      <c r="E54" s="19">
        <v>404</v>
      </c>
      <c r="F54" s="19">
        <v>2125</v>
      </c>
      <c r="G54" s="19">
        <v>1610</v>
      </c>
      <c r="H54" s="19">
        <v>59614</v>
      </c>
      <c r="I54" s="19">
        <v>761</v>
      </c>
      <c r="J54" s="19">
        <v>1497</v>
      </c>
      <c r="K54" s="19">
        <v>4845</v>
      </c>
    </row>
    <row r="55" spans="1:11" x14ac:dyDescent="0.2">
      <c r="B55" s="1" t="s">
        <v>284</v>
      </c>
      <c r="C55" s="41">
        <f>SUM(D55:K55)</f>
        <v>87932.800000000003</v>
      </c>
      <c r="D55" s="19">
        <v>13946.4</v>
      </c>
      <c r="E55" s="19">
        <v>447.4</v>
      </c>
      <c r="F55" s="19">
        <v>2324</v>
      </c>
      <c r="G55" s="19">
        <v>1253</v>
      </c>
      <c r="H55" s="19">
        <v>63164</v>
      </c>
      <c r="I55" s="19">
        <v>739</v>
      </c>
      <c r="J55" s="19">
        <v>1300</v>
      </c>
      <c r="K55" s="19">
        <v>4759</v>
      </c>
    </row>
    <row r="56" spans="1:11" x14ac:dyDescent="0.2">
      <c r="B56" s="4" t="s">
        <v>288</v>
      </c>
      <c r="C56" s="37">
        <f>SUM(D56:K56)</f>
        <v>81734</v>
      </c>
      <c r="D56" s="51">
        <v>12360</v>
      </c>
      <c r="E56" s="51">
        <v>423</v>
      </c>
      <c r="F56" s="51">
        <v>2516</v>
      </c>
      <c r="G56" s="51">
        <v>1171</v>
      </c>
      <c r="H56" s="51">
        <v>57104</v>
      </c>
      <c r="I56" s="51">
        <v>999</v>
      </c>
      <c r="J56" s="51">
        <v>1181</v>
      </c>
      <c r="K56" s="51">
        <v>5980</v>
      </c>
    </row>
    <row r="57" spans="1:11" ht="18" thickBot="1" x14ac:dyDescent="0.25">
      <c r="B57" s="5"/>
      <c r="C57" s="38"/>
      <c r="D57" s="31"/>
      <c r="E57" s="31"/>
      <c r="F57" s="31"/>
      <c r="G57" s="31"/>
      <c r="H57" s="5"/>
      <c r="I57" s="5"/>
      <c r="J57" s="5"/>
      <c r="K57" s="5"/>
    </row>
    <row r="58" spans="1:11" x14ac:dyDescent="0.2">
      <c r="C58" s="1" t="s">
        <v>289</v>
      </c>
      <c r="D58" s="34"/>
      <c r="E58" s="34"/>
      <c r="F58" s="34"/>
      <c r="G58" s="34"/>
    </row>
    <row r="59" spans="1:11" x14ac:dyDescent="0.2">
      <c r="B59" s="34"/>
      <c r="C59" s="1" t="s">
        <v>290</v>
      </c>
      <c r="H59" s="34"/>
      <c r="I59" s="34"/>
      <c r="J59" s="34"/>
      <c r="K59" s="34"/>
    </row>
    <row r="60" spans="1:11" x14ac:dyDescent="0.2">
      <c r="A60" s="1"/>
      <c r="B60" s="34"/>
      <c r="C60" s="34"/>
      <c r="H60" s="34"/>
      <c r="I60" s="34"/>
      <c r="J60" s="34"/>
      <c r="K60" s="34"/>
    </row>
  </sheetData>
  <phoneticPr fontId="2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38"/>
  <sheetViews>
    <sheetView showGridLines="0" zoomScale="75" zoomScaleNormal="100" workbookViewId="0">
      <selection activeCell="E29" sqref="E29"/>
    </sheetView>
  </sheetViews>
  <sheetFormatPr defaultColWidth="12.125" defaultRowHeight="17.25" x14ac:dyDescent="0.2"/>
  <cols>
    <col min="1" max="1" width="13.375" style="61" customWidth="1"/>
    <col min="2" max="2" width="9.625" style="61" customWidth="1"/>
    <col min="3" max="3" width="12.125" style="61"/>
    <col min="4" max="4" width="13.375" style="61" customWidth="1"/>
    <col min="5" max="256" width="12.125" style="61"/>
    <col min="257" max="257" width="13.375" style="61" customWidth="1"/>
    <col min="258" max="258" width="9.625" style="61" customWidth="1"/>
    <col min="259" max="259" width="12.125" style="61"/>
    <col min="260" max="260" width="13.375" style="61" customWidth="1"/>
    <col min="261" max="512" width="12.125" style="61"/>
    <col min="513" max="513" width="13.375" style="61" customWidth="1"/>
    <col min="514" max="514" width="9.625" style="61" customWidth="1"/>
    <col min="515" max="515" width="12.125" style="61"/>
    <col min="516" max="516" width="13.375" style="61" customWidth="1"/>
    <col min="517" max="768" width="12.125" style="61"/>
    <col min="769" max="769" width="13.375" style="61" customWidth="1"/>
    <col min="770" max="770" width="9.625" style="61" customWidth="1"/>
    <col min="771" max="771" width="12.125" style="61"/>
    <col min="772" max="772" width="13.375" style="61" customWidth="1"/>
    <col min="773" max="1024" width="12.125" style="61"/>
    <col min="1025" max="1025" width="13.375" style="61" customWidth="1"/>
    <col min="1026" max="1026" width="9.625" style="61" customWidth="1"/>
    <col min="1027" max="1027" width="12.125" style="61"/>
    <col min="1028" max="1028" width="13.375" style="61" customWidth="1"/>
    <col min="1029" max="1280" width="12.125" style="61"/>
    <col min="1281" max="1281" width="13.375" style="61" customWidth="1"/>
    <col min="1282" max="1282" width="9.625" style="61" customWidth="1"/>
    <col min="1283" max="1283" width="12.125" style="61"/>
    <col min="1284" max="1284" width="13.375" style="61" customWidth="1"/>
    <col min="1285" max="1536" width="12.125" style="61"/>
    <col min="1537" max="1537" width="13.375" style="61" customWidth="1"/>
    <col min="1538" max="1538" width="9.625" style="61" customWidth="1"/>
    <col min="1539" max="1539" width="12.125" style="61"/>
    <col min="1540" max="1540" width="13.375" style="61" customWidth="1"/>
    <col min="1541" max="1792" width="12.125" style="61"/>
    <col min="1793" max="1793" width="13.375" style="61" customWidth="1"/>
    <col min="1794" max="1794" width="9.625" style="61" customWidth="1"/>
    <col min="1795" max="1795" width="12.125" style="61"/>
    <col min="1796" max="1796" width="13.375" style="61" customWidth="1"/>
    <col min="1797" max="2048" width="12.125" style="61"/>
    <col min="2049" max="2049" width="13.375" style="61" customWidth="1"/>
    <col min="2050" max="2050" width="9.625" style="61" customWidth="1"/>
    <col min="2051" max="2051" width="12.125" style="61"/>
    <col min="2052" max="2052" width="13.375" style="61" customWidth="1"/>
    <col min="2053" max="2304" width="12.125" style="61"/>
    <col min="2305" max="2305" width="13.375" style="61" customWidth="1"/>
    <col min="2306" max="2306" width="9.625" style="61" customWidth="1"/>
    <col min="2307" max="2307" width="12.125" style="61"/>
    <col min="2308" max="2308" width="13.375" style="61" customWidth="1"/>
    <col min="2309" max="2560" width="12.125" style="61"/>
    <col min="2561" max="2561" width="13.375" style="61" customWidth="1"/>
    <col min="2562" max="2562" width="9.625" style="61" customWidth="1"/>
    <col min="2563" max="2563" width="12.125" style="61"/>
    <col min="2564" max="2564" width="13.375" style="61" customWidth="1"/>
    <col min="2565" max="2816" width="12.125" style="61"/>
    <col min="2817" max="2817" width="13.375" style="61" customWidth="1"/>
    <col min="2818" max="2818" width="9.625" style="61" customWidth="1"/>
    <col min="2819" max="2819" width="12.125" style="61"/>
    <col min="2820" max="2820" width="13.375" style="61" customWidth="1"/>
    <col min="2821" max="3072" width="12.125" style="61"/>
    <col min="3073" max="3073" width="13.375" style="61" customWidth="1"/>
    <col min="3074" max="3074" width="9.625" style="61" customWidth="1"/>
    <col min="3075" max="3075" width="12.125" style="61"/>
    <col min="3076" max="3076" width="13.375" style="61" customWidth="1"/>
    <col min="3077" max="3328" width="12.125" style="61"/>
    <col min="3329" max="3329" width="13.375" style="61" customWidth="1"/>
    <col min="3330" max="3330" width="9.625" style="61" customWidth="1"/>
    <col min="3331" max="3331" width="12.125" style="61"/>
    <col min="3332" max="3332" width="13.375" style="61" customWidth="1"/>
    <col min="3333" max="3584" width="12.125" style="61"/>
    <col min="3585" max="3585" width="13.375" style="61" customWidth="1"/>
    <col min="3586" max="3586" width="9.625" style="61" customWidth="1"/>
    <col min="3587" max="3587" width="12.125" style="61"/>
    <col min="3588" max="3588" width="13.375" style="61" customWidth="1"/>
    <col min="3589" max="3840" width="12.125" style="61"/>
    <col min="3841" max="3841" width="13.375" style="61" customWidth="1"/>
    <col min="3842" max="3842" width="9.625" style="61" customWidth="1"/>
    <col min="3843" max="3843" width="12.125" style="61"/>
    <col min="3844" max="3844" width="13.375" style="61" customWidth="1"/>
    <col min="3845" max="4096" width="12.125" style="61"/>
    <col min="4097" max="4097" width="13.375" style="61" customWidth="1"/>
    <col min="4098" max="4098" width="9.625" style="61" customWidth="1"/>
    <col min="4099" max="4099" width="12.125" style="61"/>
    <col min="4100" max="4100" width="13.375" style="61" customWidth="1"/>
    <col min="4101" max="4352" width="12.125" style="61"/>
    <col min="4353" max="4353" width="13.375" style="61" customWidth="1"/>
    <col min="4354" max="4354" width="9.625" style="61" customWidth="1"/>
    <col min="4355" max="4355" width="12.125" style="61"/>
    <col min="4356" max="4356" width="13.375" style="61" customWidth="1"/>
    <col min="4357" max="4608" width="12.125" style="61"/>
    <col min="4609" max="4609" width="13.375" style="61" customWidth="1"/>
    <col min="4610" max="4610" width="9.625" style="61" customWidth="1"/>
    <col min="4611" max="4611" width="12.125" style="61"/>
    <col min="4612" max="4612" width="13.375" style="61" customWidth="1"/>
    <col min="4613" max="4864" width="12.125" style="61"/>
    <col min="4865" max="4865" width="13.375" style="61" customWidth="1"/>
    <col min="4866" max="4866" width="9.625" style="61" customWidth="1"/>
    <col min="4867" max="4867" width="12.125" style="61"/>
    <col min="4868" max="4868" width="13.375" style="61" customWidth="1"/>
    <col min="4869" max="5120" width="12.125" style="61"/>
    <col min="5121" max="5121" width="13.375" style="61" customWidth="1"/>
    <col min="5122" max="5122" width="9.625" style="61" customWidth="1"/>
    <col min="5123" max="5123" width="12.125" style="61"/>
    <col min="5124" max="5124" width="13.375" style="61" customWidth="1"/>
    <col min="5125" max="5376" width="12.125" style="61"/>
    <col min="5377" max="5377" width="13.375" style="61" customWidth="1"/>
    <col min="5378" max="5378" width="9.625" style="61" customWidth="1"/>
    <col min="5379" max="5379" width="12.125" style="61"/>
    <col min="5380" max="5380" width="13.375" style="61" customWidth="1"/>
    <col min="5381" max="5632" width="12.125" style="61"/>
    <col min="5633" max="5633" width="13.375" style="61" customWidth="1"/>
    <col min="5634" max="5634" width="9.625" style="61" customWidth="1"/>
    <col min="5635" max="5635" width="12.125" style="61"/>
    <col min="5636" max="5636" width="13.375" style="61" customWidth="1"/>
    <col min="5637" max="5888" width="12.125" style="61"/>
    <col min="5889" max="5889" width="13.375" style="61" customWidth="1"/>
    <col min="5890" max="5890" width="9.625" style="61" customWidth="1"/>
    <col min="5891" max="5891" width="12.125" style="61"/>
    <col min="5892" max="5892" width="13.375" style="61" customWidth="1"/>
    <col min="5893" max="6144" width="12.125" style="61"/>
    <col min="6145" max="6145" width="13.375" style="61" customWidth="1"/>
    <col min="6146" max="6146" width="9.625" style="61" customWidth="1"/>
    <col min="6147" max="6147" width="12.125" style="61"/>
    <col min="6148" max="6148" width="13.375" style="61" customWidth="1"/>
    <col min="6149" max="6400" width="12.125" style="61"/>
    <col min="6401" max="6401" width="13.375" style="61" customWidth="1"/>
    <col min="6402" max="6402" width="9.625" style="61" customWidth="1"/>
    <col min="6403" max="6403" width="12.125" style="61"/>
    <col min="6404" max="6404" width="13.375" style="61" customWidth="1"/>
    <col min="6405" max="6656" width="12.125" style="61"/>
    <col min="6657" max="6657" width="13.375" style="61" customWidth="1"/>
    <col min="6658" max="6658" width="9.625" style="61" customWidth="1"/>
    <col min="6659" max="6659" width="12.125" style="61"/>
    <col min="6660" max="6660" width="13.375" style="61" customWidth="1"/>
    <col min="6661" max="6912" width="12.125" style="61"/>
    <col min="6913" max="6913" width="13.375" style="61" customWidth="1"/>
    <col min="6914" max="6914" width="9.625" style="61" customWidth="1"/>
    <col min="6915" max="6915" width="12.125" style="61"/>
    <col min="6916" max="6916" width="13.375" style="61" customWidth="1"/>
    <col min="6917" max="7168" width="12.125" style="61"/>
    <col min="7169" max="7169" width="13.375" style="61" customWidth="1"/>
    <col min="7170" max="7170" width="9.625" style="61" customWidth="1"/>
    <col min="7171" max="7171" width="12.125" style="61"/>
    <col min="7172" max="7172" width="13.375" style="61" customWidth="1"/>
    <col min="7173" max="7424" width="12.125" style="61"/>
    <col min="7425" max="7425" width="13.375" style="61" customWidth="1"/>
    <col min="7426" max="7426" width="9.625" style="61" customWidth="1"/>
    <col min="7427" max="7427" width="12.125" style="61"/>
    <col min="7428" max="7428" width="13.375" style="61" customWidth="1"/>
    <col min="7429" max="7680" width="12.125" style="61"/>
    <col min="7681" max="7681" width="13.375" style="61" customWidth="1"/>
    <col min="7682" max="7682" width="9.625" style="61" customWidth="1"/>
    <col min="7683" max="7683" width="12.125" style="61"/>
    <col min="7684" max="7684" width="13.375" style="61" customWidth="1"/>
    <col min="7685" max="7936" width="12.125" style="61"/>
    <col min="7937" max="7937" width="13.375" style="61" customWidth="1"/>
    <col min="7938" max="7938" width="9.625" style="61" customWidth="1"/>
    <col min="7939" max="7939" width="12.125" style="61"/>
    <col min="7940" max="7940" width="13.375" style="61" customWidth="1"/>
    <col min="7941" max="8192" width="12.125" style="61"/>
    <col min="8193" max="8193" width="13.375" style="61" customWidth="1"/>
    <col min="8194" max="8194" width="9.625" style="61" customWidth="1"/>
    <col min="8195" max="8195" width="12.125" style="61"/>
    <col min="8196" max="8196" width="13.375" style="61" customWidth="1"/>
    <col min="8197" max="8448" width="12.125" style="61"/>
    <col min="8449" max="8449" width="13.375" style="61" customWidth="1"/>
    <col min="8450" max="8450" width="9.625" style="61" customWidth="1"/>
    <col min="8451" max="8451" width="12.125" style="61"/>
    <col min="8452" max="8452" width="13.375" style="61" customWidth="1"/>
    <col min="8453" max="8704" width="12.125" style="61"/>
    <col min="8705" max="8705" width="13.375" style="61" customWidth="1"/>
    <col min="8706" max="8706" width="9.625" style="61" customWidth="1"/>
    <col min="8707" max="8707" width="12.125" style="61"/>
    <col min="8708" max="8708" width="13.375" style="61" customWidth="1"/>
    <col min="8709" max="8960" width="12.125" style="61"/>
    <col min="8961" max="8961" width="13.375" style="61" customWidth="1"/>
    <col min="8962" max="8962" width="9.625" style="61" customWidth="1"/>
    <col min="8963" max="8963" width="12.125" style="61"/>
    <col min="8964" max="8964" width="13.375" style="61" customWidth="1"/>
    <col min="8965" max="9216" width="12.125" style="61"/>
    <col min="9217" max="9217" width="13.375" style="61" customWidth="1"/>
    <col min="9218" max="9218" width="9.625" style="61" customWidth="1"/>
    <col min="9219" max="9219" width="12.125" style="61"/>
    <col min="9220" max="9220" width="13.375" style="61" customWidth="1"/>
    <col min="9221" max="9472" width="12.125" style="61"/>
    <col min="9473" max="9473" width="13.375" style="61" customWidth="1"/>
    <col min="9474" max="9474" width="9.625" style="61" customWidth="1"/>
    <col min="9475" max="9475" width="12.125" style="61"/>
    <col min="9476" max="9476" width="13.375" style="61" customWidth="1"/>
    <col min="9477" max="9728" width="12.125" style="61"/>
    <col min="9729" max="9729" width="13.375" style="61" customWidth="1"/>
    <col min="9730" max="9730" width="9.625" style="61" customWidth="1"/>
    <col min="9731" max="9731" width="12.125" style="61"/>
    <col min="9732" max="9732" width="13.375" style="61" customWidth="1"/>
    <col min="9733" max="9984" width="12.125" style="61"/>
    <col min="9985" max="9985" width="13.375" style="61" customWidth="1"/>
    <col min="9986" max="9986" width="9.625" style="61" customWidth="1"/>
    <col min="9987" max="9987" width="12.125" style="61"/>
    <col min="9988" max="9988" width="13.375" style="61" customWidth="1"/>
    <col min="9989" max="10240" width="12.125" style="61"/>
    <col min="10241" max="10241" width="13.375" style="61" customWidth="1"/>
    <col min="10242" max="10242" width="9.625" style="61" customWidth="1"/>
    <col min="10243" max="10243" width="12.125" style="61"/>
    <col min="10244" max="10244" width="13.375" style="61" customWidth="1"/>
    <col min="10245" max="10496" width="12.125" style="61"/>
    <col min="10497" max="10497" width="13.375" style="61" customWidth="1"/>
    <col min="10498" max="10498" width="9.625" style="61" customWidth="1"/>
    <col min="10499" max="10499" width="12.125" style="61"/>
    <col min="10500" max="10500" width="13.375" style="61" customWidth="1"/>
    <col min="10501" max="10752" width="12.125" style="61"/>
    <col min="10753" max="10753" width="13.375" style="61" customWidth="1"/>
    <col min="10754" max="10754" width="9.625" style="61" customWidth="1"/>
    <col min="10755" max="10755" width="12.125" style="61"/>
    <col min="10756" max="10756" width="13.375" style="61" customWidth="1"/>
    <col min="10757" max="11008" width="12.125" style="61"/>
    <col min="11009" max="11009" width="13.375" style="61" customWidth="1"/>
    <col min="11010" max="11010" width="9.625" style="61" customWidth="1"/>
    <col min="11011" max="11011" width="12.125" style="61"/>
    <col min="11012" max="11012" width="13.375" style="61" customWidth="1"/>
    <col min="11013" max="11264" width="12.125" style="61"/>
    <col min="11265" max="11265" width="13.375" style="61" customWidth="1"/>
    <col min="11266" max="11266" width="9.625" style="61" customWidth="1"/>
    <col min="11267" max="11267" width="12.125" style="61"/>
    <col min="11268" max="11268" width="13.375" style="61" customWidth="1"/>
    <col min="11269" max="11520" width="12.125" style="61"/>
    <col min="11521" max="11521" width="13.375" style="61" customWidth="1"/>
    <col min="11522" max="11522" width="9.625" style="61" customWidth="1"/>
    <col min="11523" max="11523" width="12.125" style="61"/>
    <col min="11524" max="11524" width="13.375" style="61" customWidth="1"/>
    <col min="11525" max="11776" width="12.125" style="61"/>
    <col min="11777" max="11777" width="13.375" style="61" customWidth="1"/>
    <col min="11778" max="11778" width="9.625" style="61" customWidth="1"/>
    <col min="11779" max="11779" width="12.125" style="61"/>
    <col min="11780" max="11780" width="13.375" style="61" customWidth="1"/>
    <col min="11781" max="12032" width="12.125" style="61"/>
    <col min="12033" max="12033" width="13.375" style="61" customWidth="1"/>
    <col min="12034" max="12034" width="9.625" style="61" customWidth="1"/>
    <col min="12035" max="12035" width="12.125" style="61"/>
    <col min="12036" max="12036" width="13.375" style="61" customWidth="1"/>
    <col min="12037" max="12288" width="12.125" style="61"/>
    <col min="12289" max="12289" width="13.375" style="61" customWidth="1"/>
    <col min="12290" max="12290" width="9.625" style="61" customWidth="1"/>
    <col min="12291" max="12291" width="12.125" style="61"/>
    <col min="12292" max="12292" width="13.375" style="61" customWidth="1"/>
    <col min="12293" max="12544" width="12.125" style="61"/>
    <col min="12545" max="12545" width="13.375" style="61" customWidth="1"/>
    <col min="12546" max="12546" width="9.625" style="61" customWidth="1"/>
    <col min="12547" max="12547" width="12.125" style="61"/>
    <col min="12548" max="12548" width="13.375" style="61" customWidth="1"/>
    <col min="12549" max="12800" width="12.125" style="61"/>
    <col min="12801" max="12801" width="13.375" style="61" customWidth="1"/>
    <col min="12802" max="12802" width="9.625" style="61" customWidth="1"/>
    <col min="12803" max="12803" width="12.125" style="61"/>
    <col min="12804" max="12804" width="13.375" style="61" customWidth="1"/>
    <col min="12805" max="13056" width="12.125" style="61"/>
    <col min="13057" max="13057" width="13.375" style="61" customWidth="1"/>
    <col min="13058" max="13058" width="9.625" style="61" customWidth="1"/>
    <col min="13059" max="13059" width="12.125" style="61"/>
    <col min="13060" max="13060" width="13.375" style="61" customWidth="1"/>
    <col min="13061" max="13312" width="12.125" style="61"/>
    <col min="13313" max="13313" width="13.375" style="61" customWidth="1"/>
    <col min="13314" max="13314" width="9.625" style="61" customWidth="1"/>
    <col min="13315" max="13315" width="12.125" style="61"/>
    <col min="13316" max="13316" width="13.375" style="61" customWidth="1"/>
    <col min="13317" max="13568" width="12.125" style="61"/>
    <col min="13569" max="13569" width="13.375" style="61" customWidth="1"/>
    <col min="13570" max="13570" width="9.625" style="61" customWidth="1"/>
    <col min="13571" max="13571" width="12.125" style="61"/>
    <col min="13572" max="13572" width="13.375" style="61" customWidth="1"/>
    <col min="13573" max="13824" width="12.125" style="61"/>
    <col min="13825" max="13825" width="13.375" style="61" customWidth="1"/>
    <col min="13826" max="13826" width="9.625" style="61" customWidth="1"/>
    <col min="13827" max="13827" width="12.125" style="61"/>
    <col min="13828" max="13828" width="13.375" style="61" customWidth="1"/>
    <col min="13829" max="14080" width="12.125" style="61"/>
    <col min="14081" max="14081" width="13.375" style="61" customWidth="1"/>
    <col min="14082" max="14082" width="9.625" style="61" customWidth="1"/>
    <col min="14083" max="14083" width="12.125" style="61"/>
    <col min="14084" max="14084" width="13.375" style="61" customWidth="1"/>
    <col min="14085" max="14336" width="12.125" style="61"/>
    <col min="14337" max="14337" width="13.375" style="61" customWidth="1"/>
    <col min="14338" max="14338" width="9.625" style="61" customWidth="1"/>
    <col min="14339" max="14339" width="12.125" style="61"/>
    <col min="14340" max="14340" width="13.375" style="61" customWidth="1"/>
    <col min="14341" max="14592" width="12.125" style="61"/>
    <col min="14593" max="14593" width="13.375" style="61" customWidth="1"/>
    <col min="14594" max="14594" width="9.625" style="61" customWidth="1"/>
    <col min="14595" max="14595" width="12.125" style="61"/>
    <col min="14596" max="14596" width="13.375" style="61" customWidth="1"/>
    <col min="14597" max="14848" width="12.125" style="61"/>
    <col min="14849" max="14849" width="13.375" style="61" customWidth="1"/>
    <col min="14850" max="14850" width="9.625" style="61" customWidth="1"/>
    <col min="14851" max="14851" width="12.125" style="61"/>
    <col min="14852" max="14852" width="13.375" style="61" customWidth="1"/>
    <col min="14853" max="15104" width="12.125" style="61"/>
    <col min="15105" max="15105" width="13.375" style="61" customWidth="1"/>
    <col min="15106" max="15106" width="9.625" style="61" customWidth="1"/>
    <col min="15107" max="15107" width="12.125" style="61"/>
    <col min="15108" max="15108" width="13.375" style="61" customWidth="1"/>
    <col min="15109" max="15360" width="12.125" style="61"/>
    <col min="15361" max="15361" width="13.375" style="61" customWidth="1"/>
    <col min="15362" max="15362" width="9.625" style="61" customWidth="1"/>
    <col min="15363" max="15363" width="12.125" style="61"/>
    <col min="15364" max="15364" width="13.375" style="61" customWidth="1"/>
    <col min="15365" max="15616" width="12.125" style="61"/>
    <col min="15617" max="15617" width="13.375" style="61" customWidth="1"/>
    <col min="15618" max="15618" width="9.625" style="61" customWidth="1"/>
    <col min="15619" max="15619" width="12.125" style="61"/>
    <col min="15620" max="15620" width="13.375" style="61" customWidth="1"/>
    <col min="15621" max="15872" width="12.125" style="61"/>
    <col min="15873" max="15873" width="13.375" style="61" customWidth="1"/>
    <col min="15874" max="15874" width="9.625" style="61" customWidth="1"/>
    <col min="15875" max="15875" width="12.125" style="61"/>
    <col min="15876" max="15876" width="13.375" style="61" customWidth="1"/>
    <col min="15877" max="16128" width="12.125" style="61"/>
    <col min="16129" max="16129" width="13.375" style="61" customWidth="1"/>
    <col min="16130" max="16130" width="9.625" style="61" customWidth="1"/>
    <col min="16131" max="16131" width="12.125" style="61"/>
    <col min="16132" max="16132" width="13.375" style="61" customWidth="1"/>
    <col min="16133" max="16384" width="12.125" style="61"/>
  </cols>
  <sheetData>
    <row r="1" spans="1:13" x14ac:dyDescent="0.2">
      <c r="A1" s="60"/>
    </row>
    <row r="6" spans="1:13" x14ac:dyDescent="0.2">
      <c r="F6" s="62" t="s">
        <v>291</v>
      </c>
    </row>
    <row r="7" spans="1:13" ht="18" thickBot="1" x14ac:dyDescent="0.25">
      <c r="B7" s="63"/>
      <c r="C7" s="63"/>
      <c r="D7" s="63"/>
      <c r="E7" s="63"/>
      <c r="F7" s="63"/>
      <c r="G7" s="63"/>
      <c r="H7" s="63"/>
      <c r="I7" s="63"/>
      <c r="J7" s="64" t="s">
        <v>292</v>
      </c>
      <c r="K7" s="63"/>
      <c r="L7" s="63"/>
    </row>
    <row r="8" spans="1:13" x14ac:dyDescent="0.2">
      <c r="D8" s="65"/>
      <c r="E8" s="66"/>
      <c r="F8" s="66"/>
      <c r="G8" s="66"/>
      <c r="H8" s="66"/>
      <c r="I8" s="66"/>
      <c r="J8" s="66"/>
      <c r="K8" s="66"/>
      <c r="L8" s="66"/>
    </row>
    <row r="9" spans="1:13" x14ac:dyDescent="0.2">
      <c r="D9" s="67" t="s">
        <v>293</v>
      </c>
      <c r="E9" s="65"/>
      <c r="F9" s="65"/>
      <c r="G9" s="66"/>
      <c r="H9" s="66"/>
      <c r="I9" s="66"/>
      <c r="J9" s="66"/>
      <c r="K9" s="66"/>
      <c r="L9" s="66"/>
      <c r="M9" s="68"/>
    </row>
    <row r="10" spans="1:13" x14ac:dyDescent="0.2">
      <c r="D10" s="65"/>
      <c r="E10" s="67" t="s">
        <v>294</v>
      </c>
      <c r="F10" s="67" t="s">
        <v>295</v>
      </c>
      <c r="G10" s="65"/>
      <c r="H10" s="67" t="s">
        <v>296</v>
      </c>
      <c r="I10" s="67" t="s">
        <v>297</v>
      </c>
      <c r="J10" s="67" t="s">
        <v>298</v>
      </c>
      <c r="K10" s="67" t="s">
        <v>299</v>
      </c>
      <c r="L10" s="67" t="s">
        <v>300</v>
      </c>
      <c r="M10" s="68"/>
    </row>
    <row r="11" spans="1:13" x14ac:dyDescent="0.2">
      <c r="B11" s="66"/>
      <c r="C11" s="66"/>
      <c r="D11" s="69"/>
      <c r="E11" s="69"/>
      <c r="F11" s="69"/>
      <c r="G11" s="70" t="s">
        <v>301</v>
      </c>
      <c r="H11" s="71" t="s">
        <v>302</v>
      </c>
      <c r="I11" s="71" t="s">
        <v>303</v>
      </c>
      <c r="J11" s="71" t="s">
        <v>304</v>
      </c>
      <c r="K11" s="71" t="s">
        <v>304</v>
      </c>
      <c r="L11" s="71" t="s">
        <v>304</v>
      </c>
      <c r="M11" s="68"/>
    </row>
    <row r="12" spans="1:13" x14ac:dyDescent="0.2">
      <c r="D12" s="65"/>
    </row>
    <row r="13" spans="1:13" x14ac:dyDescent="0.2">
      <c r="B13" s="72" t="s">
        <v>305</v>
      </c>
      <c r="C13" s="66"/>
      <c r="D13" s="73">
        <f>E13+F13</f>
        <v>230</v>
      </c>
      <c r="E13" s="74">
        <v>3</v>
      </c>
      <c r="F13" s="75">
        <f>SUM(G13:L13,D82:K82)</f>
        <v>227</v>
      </c>
      <c r="G13" s="74">
        <v>24</v>
      </c>
      <c r="H13" s="74">
        <v>4</v>
      </c>
      <c r="I13" s="74">
        <v>13</v>
      </c>
      <c r="J13" s="74">
        <v>28</v>
      </c>
      <c r="K13" s="74">
        <v>13</v>
      </c>
      <c r="L13" s="74">
        <v>1</v>
      </c>
    </row>
    <row r="14" spans="1:13" x14ac:dyDescent="0.2">
      <c r="B14" s="72" t="s">
        <v>306</v>
      </c>
      <c r="C14" s="66"/>
      <c r="D14" s="76">
        <f>E14+F14</f>
        <v>10641.400000000001</v>
      </c>
      <c r="E14" s="77">
        <v>641.4</v>
      </c>
      <c r="F14" s="78">
        <f>SUM(G14:L14,D83:K83)</f>
        <v>10000.000000000002</v>
      </c>
      <c r="G14" s="77">
        <v>1998.2</v>
      </c>
      <c r="H14" s="77">
        <v>60.2</v>
      </c>
      <c r="I14" s="77">
        <v>519.4</v>
      </c>
      <c r="J14" s="77">
        <v>1301.2</v>
      </c>
      <c r="K14" s="77">
        <v>261.3</v>
      </c>
      <c r="L14" s="77">
        <v>10.5</v>
      </c>
    </row>
    <row r="15" spans="1:13" x14ac:dyDescent="0.2">
      <c r="D15" s="79"/>
      <c r="E15" s="80"/>
      <c r="F15" s="80"/>
      <c r="G15" s="80"/>
      <c r="H15" s="62" t="s">
        <v>307</v>
      </c>
      <c r="I15" s="80"/>
      <c r="J15" s="80"/>
      <c r="K15" s="80"/>
      <c r="L15" s="80"/>
    </row>
    <row r="16" spans="1:13" x14ac:dyDescent="0.2">
      <c r="B16" s="60" t="s">
        <v>308</v>
      </c>
      <c r="D16" s="79">
        <v>103.20833333333333</v>
      </c>
      <c r="E16" s="80">
        <v>91.075000000000003</v>
      </c>
      <c r="F16" s="80">
        <v>103.99166666666667</v>
      </c>
      <c r="G16" s="80">
        <v>101.04166666666667</v>
      </c>
      <c r="H16" s="80">
        <v>125.625</v>
      </c>
      <c r="I16" s="80">
        <v>78.516666666666666</v>
      </c>
      <c r="J16" s="80">
        <v>113.98333333333333</v>
      </c>
      <c r="K16" s="80">
        <v>29.933333333333334</v>
      </c>
      <c r="L16" s="81" t="s">
        <v>309</v>
      </c>
    </row>
    <row r="17" spans="2:12" x14ac:dyDescent="0.2">
      <c r="B17" s="60" t="s">
        <v>310</v>
      </c>
      <c r="D17" s="79">
        <v>103.20833333333333</v>
      </c>
      <c r="E17" s="80">
        <v>89.283333333333331</v>
      </c>
      <c r="F17" s="80">
        <v>104.11666666666667</v>
      </c>
      <c r="G17" s="80">
        <v>100.69166666666666</v>
      </c>
      <c r="H17" s="80">
        <v>136.57499999999999</v>
      </c>
      <c r="I17" s="80">
        <v>122.10833333333333</v>
      </c>
      <c r="J17" s="80">
        <v>101.375</v>
      </c>
      <c r="K17" s="80">
        <v>76.666666666666671</v>
      </c>
      <c r="L17" s="81" t="s">
        <v>309</v>
      </c>
    </row>
    <row r="18" spans="2:12" x14ac:dyDescent="0.2">
      <c r="B18" s="60" t="s">
        <v>311</v>
      </c>
      <c r="D18" s="79">
        <v>100.78333333333333</v>
      </c>
      <c r="E18" s="80">
        <v>100.01666666666667</v>
      </c>
      <c r="F18" s="80">
        <v>100.83333333333333</v>
      </c>
      <c r="G18" s="80">
        <v>95.216666666666669</v>
      </c>
      <c r="H18" s="80">
        <v>112.04166666666667</v>
      </c>
      <c r="I18" s="80">
        <v>94.141666666666666</v>
      </c>
      <c r="J18" s="80">
        <v>105.95833333333333</v>
      </c>
      <c r="K18" s="80">
        <v>93.6</v>
      </c>
      <c r="L18" s="81" t="s">
        <v>309</v>
      </c>
    </row>
    <row r="19" spans="2:12" x14ac:dyDescent="0.2">
      <c r="B19" s="60" t="s">
        <v>312</v>
      </c>
      <c r="D19" s="79">
        <v>100</v>
      </c>
      <c r="E19" s="80">
        <v>99.99166666666666</v>
      </c>
      <c r="F19" s="80">
        <v>99.99166666666666</v>
      </c>
      <c r="G19" s="80">
        <v>100</v>
      </c>
      <c r="H19" s="80">
        <v>99.99166666666666</v>
      </c>
      <c r="I19" s="80">
        <v>99.974999999999994</v>
      </c>
      <c r="J19" s="80">
        <v>100.00833333333334</v>
      </c>
      <c r="K19" s="80">
        <v>100</v>
      </c>
      <c r="L19" s="81" t="s">
        <v>309</v>
      </c>
    </row>
    <row r="20" spans="2:12" x14ac:dyDescent="0.2">
      <c r="D20" s="65"/>
      <c r="L20" s="82"/>
    </row>
    <row r="21" spans="2:12" x14ac:dyDescent="0.2">
      <c r="B21" s="60" t="s">
        <v>313</v>
      </c>
      <c r="D21" s="79">
        <v>99.25833333333334</v>
      </c>
      <c r="E21" s="80">
        <v>99.208333333333329</v>
      </c>
      <c r="F21" s="80">
        <v>99.275000000000006</v>
      </c>
      <c r="G21" s="80">
        <v>89.724999999999994</v>
      </c>
      <c r="H21" s="80">
        <v>98.075000000000003</v>
      </c>
      <c r="I21" s="80">
        <v>101.325</v>
      </c>
      <c r="J21" s="80">
        <v>116.50833333333334</v>
      </c>
      <c r="K21" s="80">
        <v>143.30833333333334</v>
      </c>
      <c r="L21" s="81" t="s">
        <v>309</v>
      </c>
    </row>
    <row r="22" spans="2:12" x14ac:dyDescent="0.2">
      <c r="B22" s="60" t="s">
        <v>314</v>
      </c>
      <c r="D22" s="79">
        <v>99.50833333333334</v>
      </c>
      <c r="E22" s="80">
        <v>99.783333333333331</v>
      </c>
      <c r="F22" s="80">
        <v>99.466666666666669</v>
      </c>
      <c r="G22" s="80">
        <v>100.26666666666667</v>
      </c>
      <c r="H22" s="80">
        <v>99.241666666666674</v>
      </c>
      <c r="I22" s="80">
        <v>95.291666666666671</v>
      </c>
      <c r="J22" s="80">
        <v>113.9</v>
      </c>
      <c r="K22" s="80">
        <v>160.33333333333334</v>
      </c>
      <c r="L22" s="81" t="s">
        <v>309</v>
      </c>
    </row>
    <row r="23" spans="2:12" x14ac:dyDescent="0.2">
      <c r="B23" s="62" t="s">
        <v>315</v>
      </c>
      <c r="C23" s="83"/>
      <c r="D23" s="84">
        <v>92.4</v>
      </c>
      <c r="E23" s="85">
        <v>94.6</v>
      </c>
      <c r="F23" s="85">
        <v>92.2</v>
      </c>
      <c r="G23" s="85">
        <v>88</v>
      </c>
      <c r="H23" s="85">
        <v>93.8</v>
      </c>
      <c r="I23" s="85">
        <v>80</v>
      </c>
      <c r="J23" s="85">
        <v>99</v>
      </c>
      <c r="K23" s="85">
        <v>164.5</v>
      </c>
      <c r="L23" s="81" t="s">
        <v>309</v>
      </c>
    </row>
    <row r="24" spans="2:12" x14ac:dyDescent="0.2">
      <c r="D24" s="65"/>
      <c r="L24" s="82"/>
    </row>
    <row r="25" spans="2:12" x14ac:dyDescent="0.2">
      <c r="D25" s="79"/>
      <c r="E25" s="80"/>
      <c r="F25" s="80"/>
      <c r="G25" s="80"/>
      <c r="H25" s="62" t="s">
        <v>316</v>
      </c>
      <c r="I25" s="80"/>
      <c r="J25" s="80"/>
      <c r="K25" s="80"/>
      <c r="L25" s="81"/>
    </row>
    <row r="26" spans="2:12" x14ac:dyDescent="0.2">
      <c r="B26" s="60" t="s">
        <v>317</v>
      </c>
      <c r="D26" s="79">
        <v>102.28333333333333</v>
      </c>
      <c r="E26" s="80">
        <v>90.474999999999994</v>
      </c>
      <c r="F26" s="80">
        <v>103.04166666666667</v>
      </c>
      <c r="G26" s="80">
        <v>99.5</v>
      </c>
      <c r="H26" s="80">
        <v>134.625</v>
      </c>
      <c r="I26" s="80">
        <v>77.033333333333331</v>
      </c>
      <c r="J26" s="80">
        <v>111.44166666666666</v>
      </c>
      <c r="K26" s="80">
        <v>44.233333333333334</v>
      </c>
      <c r="L26" s="81" t="s">
        <v>309</v>
      </c>
    </row>
    <row r="27" spans="2:12" x14ac:dyDescent="0.2">
      <c r="B27" s="60" t="s">
        <v>318</v>
      </c>
      <c r="D27" s="79">
        <v>102.54166666666667</v>
      </c>
      <c r="E27" s="80">
        <v>92.11666666666666</v>
      </c>
      <c r="F27" s="80">
        <v>103.23333333333333</v>
      </c>
      <c r="G27" s="80">
        <v>96.55</v>
      </c>
      <c r="H27" s="80">
        <v>129.40833333333333</v>
      </c>
      <c r="I27" s="80">
        <v>129.76666666666668</v>
      </c>
      <c r="J27" s="80">
        <v>100.94166666666666</v>
      </c>
      <c r="K27" s="80">
        <v>81.650000000000006</v>
      </c>
      <c r="L27" s="81" t="s">
        <v>309</v>
      </c>
    </row>
    <row r="28" spans="2:12" x14ac:dyDescent="0.2">
      <c r="B28" s="60" t="s">
        <v>319</v>
      </c>
      <c r="D28" s="79">
        <v>101.05</v>
      </c>
      <c r="E28" s="80">
        <v>99.825000000000003</v>
      </c>
      <c r="F28" s="80">
        <v>101.10833333333333</v>
      </c>
      <c r="G28" s="80">
        <v>99.63333333333334</v>
      </c>
      <c r="H28" s="80">
        <v>112.58333333333333</v>
      </c>
      <c r="I28" s="80">
        <v>88.9</v>
      </c>
      <c r="J28" s="80">
        <v>103.85833333333333</v>
      </c>
      <c r="K28" s="80">
        <v>95.5</v>
      </c>
      <c r="L28" s="81" t="s">
        <v>309</v>
      </c>
    </row>
    <row r="29" spans="2:12" x14ac:dyDescent="0.2">
      <c r="D29" s="79"/>
      <c r="E29" s="80"/>
      <c r="F29" s="80"/>
      <c r="G29" s="80"/>
      <c r="H29" s="80"/>
      <c r="I29" s="80"/>
      <c r="J29" s="80"/>
      <c r="K29" s="80"/>
      <c r="L29" s="81"/>
    </row>
    <row r="30" spans="2:12" x14ac:dyDescent="0.2">
      <c r="B30" s="60" t="s">
        <v>320</v>
      </c>
      <c r="D30" s="79">
        <v>99.541666666666671</v>
      </c>
      <c r="E30" s="80">
        <v>99.341666666666669</v>
      </c>
      <c r="F30" s="80">
        <v>99.566666666666663</v>
      </c>
      <c r="G30" s="80">
        <v>96.025000000000006</v>
      </c>
      <c r="H30" s="80">
        <v>94.325000000000003</v>
      </c>
      <c r="I30" s="80">
        <v>105.58333333333333</v>
      </c>
      <c r="J30" s="80">
        <v>104.44166666666666</v>
      </c>
      <c r="K30" s="80">
        <v>111.50833333333334</v>
      </c>
      <c r="L30" s="81" t="s">
        <v>309</v>
      </c>
    </row>
    <row r="31" spans="2:12" x14ac:dyDescent="0.2">
      <c r="B31" s="60" t="s">
        <v>321</v>
      </c>
      <c r="D31" s="79">
        <v>100.46666666666667</v>
      </c>
      <c r="E31" s="80">
        <v>101.26666666666667</v>
      </c>
      <c r="F31" s="80">
        <v>100.41666666666667</v>
      </c>
      <c r="G31" s="80">
        <v>92.991666666666674</v>
      </c>
      <c r="H31" s="80">
        <v>101.54166666666667</v>
      </c>
      <c r="I31" s="80">
        <v>99.36666666666666</v>
      </c>
      <c r="J31" s="80">
        <v>117.7</v>
      </c>
      <c r="K31" s="80">
        <v>146.32499999999999</v>
      </c>
      <c r="L31" s="81" t="s">
        <v>309</v>
      </c>
    </row>
    <row r="32" spans="2:12" x14ac:dyDescent="0.2">
      <c r="B32" s="62" t="s">
        <v>322</v>
      </c>
      <c r="C32" s="83"/>
      <c r="D32" s="84">
        <v>97.9</v>
      </c>
      <c r="E32" s="85">
        <v>97</v>
      </c>
      <c r="F32" s="85">
        <v>98</v>
      </c>
      <c r="G32" s="85">
        <v>99.4</v>
      </c>
      <c r="H32" s="85">
        <v>95.7</v>
      </c>
      <c r="I32" s="85">
        <v>93.5</v>
      </c>
      <c r="J32" s="85">
        <v>111.2</v>
      </c>
      <c r="K32" s="85">
        <v>163.6</v>
      </c>
      <c r="L32" s="81" t="s">
        <v>309</v>
      </c>
    </row>
    <row r="33" spans="2:12" x14ac:dyDescent="0.2">
      <c r="D33" s="65"/>
    </row>
    <row r="34" spans="2:12" x14ac:dyDescent="0.2">
      <c r="D34" s="79"/>
      <c r="E34" s="80"/>
      <c r="F34" s="80"/>
      <c r="G34" s="80"/>
      <c r="H34" s="62" t="s">
        <v>323</v>
      </c>
      <c r="I34" s="80"/>
      <c r="J34" s="80"/>
      <c r="K34" s="80"/>
      <c r="L34" s="80"/>
    </row>
    <row r="35" spans="2:12" x14ac:dyDescent="0.2">
      <c r="B35" s="60" t="s">
        <v>324</v>
      </c>
      <c r="D35" s="79">
        <v>87.6</v>
      </c>
      <c r="E35" s="80">
        <v>108</v>
      </c>
      <c r="F35" s="80">
        <v>86.3</v>
      </c>
      <c r="G35" s="80">
        <v>100.3</v>
      </c>
      <c r="H35" s="80">
        <v>85.8</v>
      </c>
      <c r="I35" s="80">
        <v>78.8</v>
      </c>
      <c r="J35" s="80">
        <v>90.7</v>
      </c>
      <c r="K35" s="80">
        <v>161.6</v>
      </c>
      <c r="L35" s="86" t="s">
        <v>325</v>
      </c>
    </row>
    <row r="36" spans="2:12" x14ac:dyDescent="0.2">
      <c r="C36" s="60" t="s">
        <v>326</v>
      </c>
      <c r="D36" s="79">
        <v>93.3</v>
      </c>
      <c r="E36" s="80">
        <v>99</v>
      </c>
      <c r="F36" s="80">
        <v>93</v>
      </c>
      <c r="G36" s="80">
        <v>96.7</v>
      </c>
      <c r="H36" s="80">
        <v>98.8</v>
      </c>
      <c r="I36" s="80">
        <v>89.4</v>
      </c>
      <c r="J36" s="80">
        <v>103.5</v>
      </c>
      <c r="K36" s="80">
        <v>166.8</v>
      </c>
      <c r="L36" s="86" t="s">
        <v>325</v>
      </c>
    </row>
    <row r="37" spans="2:12" x14ac:dyDescent="0.2">
      <c r="C37" s="60" t="s">
        <v>327</v>
      </c>
      <c r="D37" s="79">
        <v>95.8</v>
      </c>
      <c r="E37" s="80">
        <v>84.7</v>
      </c>
      <c r="F37" s="80">
        <v>96.5</v>
      </c>
      <c r="G37" s="80">
        <v>88.3</v>
      </c>
      <c r="H37" s="80">
        <v>103.8</v>
      </c>
      <c r="I37" s="80">
        <v>94.6</v>
      </c>
      <c r="J37" s="80">
        <v>105.8</v>
      </c>
      <c r="K37" s="80">
        <v>170</v>
      </c>
      <c r="L37" s="86" t="s">
        <v>325</v>
      </c>
    </row>
    <row r="38" spans="2:12" x14ac:dyDescent="0.2">
      <c r="D38" s="65"/>
    </row>
    <row r="39" spans="2:12" x14ac:dyDescent="0.2">
      <c r="C39" s="60" t="s">
        <v>328</v>
      </c>
      <c r="D39" s="79">
        <v>94.3</v>
      </c>
      <c r="E39" s="80">
        <v>86.3</v>
      </c>
      <c r="F39" s="80">
        <v>94.8</v>
      </c>
      <c r="G39" s="80">
        <v>91.9</v>
      </c>
      <c r="H39" s="80">
        <v>78.099999999999994</v>
      </c>
      <c r="I39" s="80">
        <v>71.900000000000006</v>
      </c>
      <c r="J39" s="80">
        <v>114.5</v>
      </c>
      <c r="K39" s="80">
        <v>159.9</v>
      </c>
      <c r="L39" s="86" t="s">
        <v>325</v>
      </c>
    </row>
    <row r="40" spans="2:12" x14ac:dyDescent="0.2">
      <c r="C40" s="60" t="s">
        <v>329</v>
      </c>
      <c r="D40" s="79">
        <v>93.6</v>
      </c>
      <c r="E40" s="80">
        <v>84.9</v>
      </c>
      <c r="F40" s="80">
        <v>94.2</v>
      </c>
      <c r="G40" s="80">
        <v>87.5</v>
      </c>
      <c r="H40" s="80">
        <v>76.400000000000006</v>
      </c>
      <c r="I40" s="80">
        <v>120.5</v>
      </c>
      <c r="J40" s="80">
        <v>111.3</v>
      </c>
      <c r="K40" s="80">
        <v>150.69999999999999</v>
      </c>
      <c r="L40" s="86" t="s">
        <v>325</v>
      </c>
    </row>
    <row r="41" spans="2:12" x14ac:dyDescent="0.2">
      <c r="C41" s="60" t="s">
        <v>330</v>
      </c>
      <c r="D41" s="79">
        <v>94.5</v>
      </c>
      <c r="E41" s="80">
        <v>84.2</v>
      </c>
      <c r="F41" s="80">
        <v>95.2</v>
      </c>
      <c r="G41" s="80">
        <v>80.099999999999994</v>
      </c>
      <c r="H41" s="80">
        <v>105.4</v>
      </c>
      <c r="I41" s="80">
        <v>81.599999999999994</v>
      </c>
      <c r="J41" s="80">
        <v>106.4</v>
      </c>
      <c r="K41" s="80">
        <v>187.8</v>
      </c>
      <c r="L41" s="86" t="s">
        <v>325</v>
      </c>
    </row>
    <row r="42" spans="2:12" x14ac:dyDescent="0.2">
      <c r="D42" s="65"/>
    </row>
    <row r="43" spans="2:12" x14ac:dyDescent="0.2">
      <c r="C43" s="60" t="s">
        <v>331</v>
      </c>
      <c r="D43" s="79">
        <v>98.2</v>
      </c>
      <c r="E43" s="80">
        <v>103.4</v>
      </c>
      <c r="F43" s="80">
        <v>97.8</v>
      </c>
      <c r="G43" s="80">
        <v>88.6</v>
      </c>
      <c r="H43" s="80">
        <v>108.8</v>
      </c>
      <c r="I43" s="80">
        <v>76.7</v>
      </c>
      <c r="J43" s="80">
        <v>102.5</v>
      </c>
      <c r="K43" s="80">
        <v>163</v>
      </c>
      <c r="L43" s="86" t="s">
        <v>325</v>
      </c>
    </row>
    <row r="44" spans="2:12" x14ac:dyDescent="0.2">
      <c r="C44" s="60" t="s">
        <v>332</v>
      </c>
      <c r="D44" s="79">
        <v>87.5</v>
      </c>
      <c r="E44" s="80">
        <v>117.4</v>
      </c>
      <c r="F44" s="80">
        <v>85.6</v>
      </c>
      <c r="G44" s="80">
        <v>91</v>
      </c>
      <c r="H44" s="80">
        <v>85.5</v>
      </c>
      <c r="I44" s="80">
        <v>67.099999999999994</v>
      </c>
      <c r="J44" s="80">
        <v>83.4</v>
      </c>
      <c r="K44" s="80">
        <v>158.30000000000001</v>
      </c>
      <c r="L44" s="86" t="s">
        <v>325</v>
      </c>
    </row>
    <row r="45" spans="2:12" x14ac:dyDescent="0.2">
      <c r="C45" s="60" t="s">
        <v>333</v>
      </c>
      <c r="D45" s="79">
        <v>91.6</v>
      </c>
      <c r="E45" s="80">
        <v>105.7</v>
      </c>
      <c r="F45" s="80">
        <v>90.7</v>
      </c>
      <c r="G45" s="80">
        <v>86.5</v>
      </c>
      <c r="H45" s="80">
        <v>107.5</v>
      </c>
      <c r="I45" s="80">
        <v>63.8</v>
      </c>
      <c r="J45" s="80">
        <v>106.8</v>
      </c>
      <c r="K45" s="80">
        <v>202</v>
      </c>
      <c r="L45" s="86" t="s">
        <v>325</v>
      </c>
    </row>
    <row r="46" spans="2:12" x14ac:dyDescent="0.2">
      <c r="D46" s="65"/>
    </row>
    <row r="47" spans="2:12" x14ac:dyDescent="0.2">
      <c r="C47" s="60" t="s">
        <v>334</v>
      </c>
      <c r="D47" s="79">
        <v>91.4</v>
      </c>
      <c r="E47" s="80">
        <v>91.7</v>
      </c>
      <c r="F47" s="80">
        <v>91.4</v>
      </c>
      <c r="G47" s="80">
        <v>90.1</v>
      </c>
      <c r="H47" s="80">
        <v>99.1</v>
      </c>
      <c r="I47" s="80">
        <v>84.4</v>
      </c>
      <c r="J47" s="80">
        <v>89.5</v>
      </c>
      <c r="K47" s="80">
        <v>137.6</v>
      </c>
      <c r="L47" s="86" t="s">
        <v>325</v>
      </c>
    </row>
    <row r="48" spans="2:12" x14ac:dyDescent="0.2">
      <c r="C48" s="60" t="s">
        <v>335</v>
      </c>
      <c r="D48" s="79">
        <v>90.3</v>
      </c>
      <c r="E48" s="80">
        <v>83.9</v>
      </c>
      <c r="F48" s="80">
        <v>90.8</v>
      </c>
      <c r="G48" s="80">
        <v>79.099999999999994</v>
      </c>
      <c r="H48" s="80">
        <v>88.6</v>
      </c>
      <c r="I48" s="80">
        <v>61.3</v>
      </c>
      <c r="J48" s="80">
        <v>86.1</v>
      </c>
      <c r="K48" s="80">
        <v>135.80000000000001</v>
      </c>
      <c r="L48" s="86" t="s">
        <v>325</v>
      </c>
    </row>
    <row r="49" spans="2:12" x14ac:dyDescent="0.2">
      <c r="C49" s="60" t="s">
        <v>336</v>
      </c>
      <c r="D49" s="79">
        <v>90.4</v>
      </c>
      <c r="E49" s="80">
        <v>86.5</v>
      </c>
      <c r="F49" s="80">
        <v>90.6</v>
      </c>
      <c r="G49" s="80">
        <v>75.8</v>
      </c>
      <c r="H49" s="80">
        <v>87.8</v>
      </c>
      <c r="I49" s="80">
        <v>70</v>
      </c>
      <c r="J49" s="80">
        <v>87.9</v>
      </c>
      <c r="K49" s="80">
        <v>181</v>
      </c>
      <c r="L49" s="86" t="s">
        <v>325</v>
      </c>
    </row>
    <row r="50" spans="2:12" x14ac:dyDescent="0.2">
      <c r="D50" s="65"/>
    </row>
    <row r="51" spans="2:12" x14ac:dyDescent="0.2">
      <c r="D51" s="79"/>
      <c r="E51" s="80"/>
      <c r="F51" s="80"/>
      <c r="G51" s="62" t="s">
        <v>337</v>
      </c>
      <c r="H51" s="83"/>
      <c r="I51" s="80"/>
      <c r="J51" s="80"/>
      <c r="K51" s="80"/>
      <c r="L51" s="80"/>
    </row>
    <row r="52" spans="2:12" x14ac:dyDescent="0.2">
      <c r="B52" s="60" t="s">
        <v>324</v>
      </c>
      <c r="D52" s="79">
        <v>97.5</v>
      </c>
      <c r="E52" s="80">
        <v>97.6</v>
      </c>
      <c r="F52" s="80">
        <v>97.5</v>
      </c>
      <c r="G52" s="80">
        <v>99.4</v>
      </c>
      <c r="H52" s="80">
        <v>88.8</v>
      </c>
      <c r="I52" s="80">
        <v>89.7</v>
      </c>
      <c r="J52" s="80">
        <v>106.6</v>
      </c>
      <c r="K52" s="80">
        <v>168.2</v>
      </c>
      <c r="L52" s="87" t="s">
        <v>325</v>
      </c>
    </row>
    <row r="53" spans="2:12" x14ac:dyDescent="0.2">
      <c r="B53" s="83"/>
      <c r="C53" s="60" t="s">
        <v>326</v>
      </c>
      <c r="D53" s="79">
        <v>97.7</v>
      </c>
      <c r="E53" s="80">
        <v>94.1</v>
      </c>
      <c r="F53" s="80">
        <v>98.3</v>
      </c>
      <c r="G53" s="80">
        <v>95.8</v>
      </c>
      <c r="H53" s="80">
        <v>92.3</v>
      </c>
      <c r="I53" s="80">
        <v>92.6</v>
      </c>
      <c r="J53" s="80">
        <v>113</v>
      </c>
      <c r="K53" s="80">
        <v>164.4</v>
      </c>
      <c r="L53" s="87" t="s">
        <v>325</v>
      </c>
    </row>
    <row r="54" spans="2:12" x14ac:dyDescent="0.2">
      <c r="B54" s="83"/>
      <c r="C54" s="60" t="s">
        <v>327</v>
      </c>
      <c r="D54" s="79">
        <v>93.6</v>
      </c>
      <c r="E54" s="80">
        <v>90.7</v>
      </c>
      <c r="F54" s="80">
        <v>93.9</v>
      </c>
      <c r="G54" s="80">
        <v>93.2</v>
      </c>
      <c r="H54" s="80">
        <v>90.9</v>
      </c>
      <c r="I54" s="80">
        <v>95.7</v>
      </c>
      <c r="J54" s="80">
        <v>104.6</v>
      </c>
      <c r="K54" s="80">
        <v>158.69999999999999</v>
      </c>
      <c r="L54" s="87" t="s">
        <v>325</v>
      </c>
    </row>
    <row r="55" spans="2:12" x14ac:dyDescent="0.2">
      <c r="D55" s="65"/>
    </row>
    <row r="56" spans="2:12" x14ac:dyDescent="0.2">
      <c r="B56" s="83"/>
      <c r="C56" s="60" t="s">
        <v>328</v>
      </c>
      <c r="D56" s="79">
        <v>95</v>
      </c>
      <c r="E56" s="80">
        <v>93.6</v>
      </c>
      <c r="F56" s="80">
        <v>94.9</v>
      </c>
      <c r="G56" s="80">
        <v>91.9</v>
      </c>
      <c r="H56" s="80">
        <v>90.7</v>
      </c>
      <c r="I56" s="80">
        <v>79.599999999999994</v>
      </c>
      <c r="J56" s="80">
        <v>111</v>
      </c>
      <c r="K56" s="80">
        <v>164.3</v>
      </c>
      <c r="L56" s="87" t="s">
        <v>325</v>
      </c>
    </row>
    <row r="57" spans="2:12" x14ac:dyDescent="0.2">
      <c r="B57" s="83"/>
      <c r="C57" s="60" t="s">
        <v>329</v>
      </c>
      <c r="D57" s="79">
        <v>93.5</v>
      </c>
      <c r="E57" s="80">
        <v>94.7</v>
      </c>
      <c r="F57" s="80">
        <v>93.5</v>
      </c>
      <c r="G57" s="80">
        <v>84.6</v>
      </c>
      <c r="H57" s="80">
        <v>90.4</v>
      </c>
      <c r="I57" s="80">
        <v>102.2</v>
      </c>
      <c r="J57" s="80">
        <v>104.4</v>
      </c>
      <c r="K57" s="80">
        <v>160.1</v>
      </c>
      <c r="L57" s="87" t="s">
        <v>325</v>
      </c>
    </row>
    <row r="58" spans="2:12" x14ac:dyDescent="0.2">
      <c r="B58" s="83"/>
      <c r="C58" s="60" t="s">
        <v>330</v>
      </c>
      <c r="D58" s="79">
        <v>93</v>
      </c>
      <c r="E58" s="80">
        <v>95.9</v>
      </c>
      <c r="F58" s="80">
        <v>92.9</v>
      </c>
      <c r="G58" s="80">
        <v>88.8</v>
      </c>
      <c r="H58" s="80">
        <v>96.4</v>
      </c>
      <c r="I58" s="80">
        <v>90.9</v>
      </c>
      <c r="J58" s="80">
        <v>96.2</v>
      </c>
      <c r="K58" s="80">
        <v>176.4</v>
      </c>
      <c r="L58" s="87" t="s">
        <v>325</v>
      </c>
    </row>
    <row r="59" spans="2:12" x14ac:dyDescent="0.2">
      <c r="B59" s="83"/>
      <c r="D59" s="65"/>
    </row>
    <row r="60" spans="2:12" x14ac:dyDescent="0.2">
      <c r="B60" s="83"/>
      <c r="C60" s="60" t="s">
        <v>331</v>
      </c>
      <c r="D60" s="79">
        <v>93.7</v>
      </c>
      <c r="E60" s="80">
        <v>101.3</v>
      </c>
      <c r="F60" s="80">
        <v>93.2</v>
      </c>
      <c r="G60" s="80">
        <v>89.2</v>
      </c>
      <c r="H60" s="80">
        <v>95.4</v>
      </c>
      <c r="I60" s="80">
        <v>76.099999999999994</v>
      </c>
      <c r="J60" s="80">
        <v>91.7</v>
      </c>
      <c r="K60" s="80">
        <v>158</v>
      </c>
      <c r="L60" s="87" t="s">
        <v>325</v>
      </c>
    </row>
    <row r="61" spans="2:12" x14ac:dyDescent="0.2">
      <c r="B61" s="83"/>
      <c r="C61" s="60" t="s">
        <v>332</v>
      </c>
      <c r="D61" s="79">
        <v>90.4</v>
      </c>
      <c r="E61" s="80">
        <v>95.4</v>
      </c>
      <c r="F61" s="80">
        <v>89.9</v>
      </c>
      <c r="G61" s="80">
        <v>89.4</v>
      </c>
      <c r="H61" s="80">
        <v>99.5</v>
      </c>
      <c r="I61" s="80">
        <v>70.400000000000006</v>
      </c>
      <c r="J61" s="80">
        <v>93</v>
      </c>
      <c r="K61" s="80">
        <v>175.2</v>
      </c>
      <c r="L61" s="87" t="s">
        <v>325</v>
      </c>
    </row>
    <row r="62" spans="2:12" x14ac:dyDescent="0.2">
      <c r="B62" s="83"/>
      <c r="C62" s="60" t="s">
        <v>333</v>
      </c>
      <c r="D62" s="79">
        <v>89.6</v>
      </c>
      <c r="E62" s="80">
        <v>97.6</v>
      </c>
      <c r="F62" s="80">
        <v>89.1</v>
      </c>
      <c r="G62" s="80">
        <v>87.5</v>
      </c>
      <c r="H62" s="80">
        <v>96.9</v>
      </c>
      <c r="I62" s="80">
        <v>63.6</v>
      </c>
      <c r="J62" s="80">
        <v>92.1</v>
      </c>
      <c r="K62" s="80">
        <v>175.3</v>
      </c>
      <c r="L62" s="87" t="s">
        <v>325</v>
      </c>
    </row>
    <row r="63" spans="2:12" x14ac:dyDescent="0.2">
      <c r="D63" s="65"/>
    </row>
    <row r="64" spans="2:12" x14ac:dyDescent="0.2">
      <c r="B64" s="83"/>
      <c r="C64" s="60" t="s">
        <v>334</v>
      </c>
      <c r="D64" s="79">
        <v>88.7</v>
      </c>
      <c r="E64" s="80">
        <v>97.8</v>
      </c>
      <c r="F64" s="80">
        <v>88.2</v>
      </c>
      <c r="G64" s="80">
        <v>86.3</v>
      </c>
      <c r="H64" s="80">
        <v>95</v>
      </c>
      <c r="I64" s="80">
        <v>71.2</v>
      </c>
      <c r="J64" s="80">
        <v>86.2</v>
      </c>
      <c r="K64" s="80">
        <v>138.9</v>
      </c>
      <c r="L64" s="87" t="s">
        <v>325</v>
      </c>
    </row>
    <row r="65" spans="1:13" x14ac:dyDescent="0.2">
      <c r="B65" s="83"/>
      <c r="C65" s="60" t="s">
        <v>335</v>
      </c>
      <c r="D65" s="79">
        <v>88.3</v>
      </c>
      <c r="E65" s="80">
        <v>94.1</v>
      </c>
      <c r="F65" s="80">
        <v>88.4</v>
      </c>
      <c r="G65" s="80">
        <v>81.400000000000006</v>
      </c>
      <c r="H65" s="80">
        <v>90.8</v>
      </c>
      <c r="I65" s="80">
        <v>58.5</v>
      </c>
      <c r="J65" s="80">
        <v>90.2</v>
      </c>
      <c r="K65" s="80">
        <v>147.80000000000001</v>
      </c>
      <c r="L65" s="87" t="s">
        <v>325</v>
      </c>
    </row>
    <row r="66" spans="1:13" x14ac:dyDescent="0.2">
      <c r="B66" s="83"/>
      <c r="C66" s="60" t="s">
        <v>336</v>
      </c>
      <c r="D66" s="79">
        <v>88.5</v>
      </c>
      <c r="E66" s="80">
        <v>90.1</v>
      </c>
      <c r="F66" s="80">
        <v>88.4</v>
      </c>
      <c r="G66" s="80">
        <v>77.599999999999994</v>
      </c>
      <c r="H66" s="80">
        <v>89.4</v>
      </c>
      <c r="I66" s="80">
        <v>71.099999999999994</v>
      </c>
      <c r="J66" s="80">
        <v>89.9</v>
      </c>
      <c r="K66" s="80">
        <v>185.8</v>
      </c>
      <c r="L66" s="87" t="s">
        <v>325</v>
      </c>
    </row>
    <row r="67" spans="1:13" ht="18" thickBot="1" x14ac:dyDescent="0.25">
      <c r="B67" s="88"/>
      <c r="C67" s="88"/>
      <c r="D67" s="89"/>
      <c r="E67" s="90"/>
      <c r="F67" s="90"/>
      <c r="G67" s="90"/>
      <c r="H67" s="90"/>
      <c r="I67" s="90"/>
      <c r="J67" s="90"/>
      <c r="K67" s="90"/>
      <c r="L67" s="90"/>
    </row>
    <row r="68" spans="1:13" x14ac:dyDescent="0.2">
      <c r="B68" s="83"/>
      <c r="C68" s="83"/>
      <c r="D68" s="60" t="s">
        <v>338</v>
      </c>
      <c r="E68" s="83"/>
      <c r="F68" s="83"/>
      <c r="G68" s="83"/>
      <c r="H68" s="83"/>
      <c r="I68" s="83"/>
      <c r="J68" s="83"/>
      <c r="K68" s="83"/>
      <c r="L68" s="83"/>
    </row>
    <row r="69" spans="1:13" x14ac:dyDescent="0.2">
      <c r="A69" s="60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</row>
    <row r="70" spans="1:13" x14ac:dyDescent="0.2">
      <c r="A70" s="60"/>
    </row>
    <row r="75" spans="1:13" x14ac:dyDescent="0.2">
      <c r="F75" s="62" t="s">
        <v>339</v>
      </c>
    </row>
    <row r="76" spans="1:13" ht="18" thickBot="1" x14ac:dyDescent="0.25">
      <c r="B76" s="63"/>
      <c r="C76" s="63"/>
      <c r="D76" s="63"/>
      <c r="E76" s="63"/>
      <c r="F76" s="63"/>
      <c r="G76" s="63"/>
      <c r="H76" s="63"/>
      <c r="I76" s="63"/>
      <c r="J76" s="64" t="s">
        <v>292</v>
      </c>
      <c r="K76" s="63"/>
      <c r="L76" s="63"/>
    </row>
    <row r="77" spans="1:13" x14ac:dyDescent="0.2">
      <c r="D77" s="69"/>
      <c r="E77" s="66"/>
      <c r="F77" s="66"/>
      <c r="G77" s="66"/>
      <c r="H77" s="66"/>
      <c r="I77" s="66"/>
      <c r="J77" s="66"/>
      <c r="K77" s="66"/>
      <c r="L77" s="65"/>
    </row>
    <row r="78" spans="1:13" x14ac:dyDescent="0.2">
      <c r="D78" s="69"/>
      <c r="E78" s="66"/>
      <c r="F78" s="66"/>
      <c r="G78" s="72" t="s">
        <v>340</v>
      </c>
      <c r="H78" s="66"/>
      <c r="I78" s="66"/>
      <c r="J78" s="66"/>
      <c r="K78" s="66"/>
      <c r="L78" s="91" t="s">
        <v>341</v>
      </c>
      <c r="M78" s="68"/>
    </row>
    <row r="79" spans="1:13" x14ac:dyDescent="0.2">
      <c r="D79" s="67" t="s">
        <v>342</v>
      </c>
      <c r="E79" s="65"/>
      <c r="F79" s="67" t="s">
        <v>343</v>
      </c>
      <c r="G79" s="91" t="s">
        <v>344</v>
      </c>
      <c r="H79" s="67" t="s">
        <v>345</v>
      </c>
      <c r="I79" s="65"/>
      <c r="J79" s="67" t="s">
        <v>346</v>
      </c>
      <c r="K79" s="67" t="s">
        <v>10</v>
      </c>
      <c r="L79" s="91" t="s">
        <v>347</v>
      </c>
      <c r="M79" s="68"/>
    </row>
    <row r="80" spans="1:13" x14ac:dyDescent="0.2">
      <c r="B80" s="66"/>
      <c r="C80" s="66"/>
      <c r="D80" s="71" t="s">
        <v>348</v>
      </c>
      <c r="E80" s="71" t="s">
        <v>349</v>
      </c>
      <c r="F80" s="71" t="s">
        <v>348</v>
      </c>
      <c r="G80" s="71" t="s">
        <v>348</v>
      </c>
      <c r="H80" s="71" t="s">
        <v>350</v>
      </c>
      <c r="I80" s="71" t="s">
        <v>351</v>
      </c>
      <c r="J80" s="71" t="s">
        <v>352</v>
      </c>
      <c r="K80" s="71" t="s">
        <v>353</v>
      </c>
      <c r="L80" s="69"/>
      <c r="M80" s="68"/>
    </row>
    <row r="81" spans="2:12" x14ac:dyDescent="0.2">
      <c r="D81" s="65"/>
    </row>
    <row r="82" spans="2:12" x14ac:dyDescent="0.2">
      <c r="B82" s="72" t="s">
        <v>305</v>
      </c>
      <c r="C82" s="66"/>
      <c r="D82" s="92">
        <v>9</v>
      </c>
      <c r="E82" s="74">
        <v>54</v>
      </c>
      <c r="F82" s="74">
        <v>14</v>
      </c>
      <c r="G82" s="74">
        <v>6</v>
      </c>
      <c r="H82" s="74">
        <v>4</v>
      </c>
      <c r="I82" s="74">
        <v>31</v>
      </c>
      <c r="J82" s="74">
        <v>11</v>
      </c>
      <c r="K82" s="74">
        <v>15</v>
      </c>
      <c r="L82" s="75">
        <f>SUM(J13:L13)</f>
        <v>42</v>
      </c>
    </row>
    <row r="83" spans="2:12" x14ac:dyDescent="0.2">
      <c r="B83" s="72" t="s">
        <v>306</v>
      </c>
      <c r="C83" s="66"/>
      <c r="D83" s="93">
        <v>353.5</v>
      </c>
      <c r="E83" s="94">
        <v>2141.4</v>
      </c>
      <c r="F83" s="94">
        <v>789</v>
      </c>
      <c r="G83" s="94">
        <v>247.7</v>
      </c>
      <c r="H83" s="94">
        <v>92.8</v>
      </c>
      <c r="I83" s="94">
        <v>1070.4000000000001</v>
      </c>
      <c r="J83" s="94">
        <v>535.20000000000005</v>
      </c>
      <c r="K83" s="94">
        <v>619.20000000000005</v>
      </c>
      <c r="L83" s="78">
        <f>SUM(J14:L14)</f>
        <v>1573</v>
      </c>
    </row>
    <row r="84" spans="2:12" x14ac:dyDescent="0.2">
      <c r="D84" s="79"/>
      <c r="E84" s="80"/>
      <c r="F84" s="80"/>
      <c r="G84" s="80"/>
      <c r="H84" s="62" t="s">
        <v>307</v>
      </c>
      <c r="I84" s="80"/>
      <c r="J84" s="80"/>
      <c r="K84" s="80"/>
      <c r="L84" s="80"/>
    </row>
    <row r="85" spans="2:12" x14ac:dyDescent="0.2">
      <c r="B85" s="60" t="s">
        <v>308</v>
      </c>
      <c r="D85" s="79">
        <v>111.72499999999999</v>
      </c>
      <c r="E85" s="80">
        <v>108.4</v>
      </c>
      <c r="F85" s="80">
        <v>95.75833333333334</v>
      </c>
      <c r="G85" s="80">
        <v>136.94166666666666</v>
      </c>
      <c r="H85" s="80">
        <v>127.04166666666667</v>
      </c>
      <c r="I85" s="80">
        <v>112.43333333333334</v>
      </c>
      <c r="J85" s="80">
        <v>90.025000000000006</v>
      </c>
      <c r="K85" s="80">
        <v>114.15</v>
      </c>
      <c r="L85" s="80">
        <v>100.125</v>
      </c>
    </row>
    <row r="86" spans="2:12" x14ac:dyDescent="0.2">
      <c r="B86" s="60" t="s">
        <v>310</v>
      </c>
      <c r="D86" s="79">
        <v>107.8</v>
      </c>
      <c r="E86" s="80">
        <v>106.23333333333333</v>
      </c>
      <c r="F86" s="80">
        <v>100.73333333333333</v>
      </c>
      <c r="G86" s="80">
        <v>113.40833333333333</v>
      </c>
      <c r="H86" s="80">
        <v>125.8</v>
      </c>
      <c r="I86" s="80">
        <v>108.93333333333334</v>
      </c>
      <c r="J86" s="80">
        <v>86.766666666666666</v>
      </c>
      <c r="K86" s="80">
        <v>108.41666666666667</v>
      </c>
      <c r="L86" s="80">
        <v>97.38333333333334</v>
      </c>
    </row>
    <row r="87" spans="2:12" x14ac:dyDescent="0.2">
      <c r="B87" s="60" t="s">
        <v>311</v>
      </c>
      <c r="D87" s="79">
        <v>101.36666666666667</v>
      </c>
      <c r="E87" s="80">
        <v>101.26666666666667</v>
      </c>
      <c r="F87" s="80">
        <v>98.416666666666671</v>
      </c>
      <c r="G87" s="80">
        <v>110.325</v>
      </c>
      <c r="H87" s="80">
        <v>129.56666666666666</v>
      </c>
      <c r="I87" s="80">
        <v>107.25833333333334</v>
      </c>
      <c r="J87" s="80">
        <v>95.275000000000006</v>
      </c>
      <c r="K87" s="80">
        <v>102.35833333333333</v>
      </c>
      <c r="L87" s="80">
        <v>104</v>
      </c>
    </row>
    <row r="88" spans="2:12" x14ac:dyDescent="0.2">
      <c r="B88" s="60" t="s">
        <v>312</v>
      </c>
      <c r="D88" s="79">
        <v>100</v>
      </c>
      <c r="E88" s="80">
        <v>100.01</v>
      </c>
      <c r="F88" s="80">
        <v>99.991666666666674</v>
      </c>
      <c r="G88" s="80">
        <v>100</v>
      </c>
      <c r="H88" s="80">
        <v>99.99166666666666</v>
      </c>
      <c r="I88" s="80">
        <v>100</v>
      </c>
      <c r="J88" s="80">
        <v>100.00833333333334</v>
      </c>
      <c r="K88" s="80">
        <v>100</v>
      </c>
      <c r="L88" s="80">
        <v>99.99166666666666</v>
      </c>
    </row>
    <row r="89" spans="2:12" x14ac:dyDescent="0.2">
      <c r="D89" s="65"/>
    </row>
    <row r="90" spans="2:12" x14ac:dyDescent="0.2">
      <c r="B90" s="60" t="s">
        <v>313</v>
      </c>
      <c r="D90" s="79">
        <v>100.27500000000001</v>
      </c>
      <c r="E90" s="80">
        <v>92.191666666666663</v>
      </c>
      <c r="F90" s="80">
        <v>104.69166666666666</v>
      </c>
      <c r="G90" s="80">
        <v>98.191666666666663</v>
      </c>
      <c r="H90" s="80">
        <v>69.166666666666671</v>
      </c>
      <c r="I90" s="80">
        <v>97.325000000000003</v>
      </c>
      <c r="J90" s="80">
        <v>104.97499999999999</v>
      </c>
      <c r="K90" s="80">
        <v>93.625</v>
      </c>
      <c r="L90" s="80">
        <v>120.91666666666667</v>
      </c>
    </row>
    <row r="91" spans="2:12" x14ac:dyDescent="0.2">
      <c r="B91" s="60" t="s">
        <v>314</v>
      </c>
      <c r="D91" s="79">
        <v>99.15</v>
      </c>
      <c r="E91" s="80">
        <v>87.2</v>
      </c>
      <c r="F91" s="80">
        <v>98.108333333333334</v>
      </c>
      <c r="G91" s="80">
        <v>88.74166666666666</v>
      </c>
      <c r="H91" s="80">
        <v>70.791666666666671</v>
      </c>
      <c r="I91" s="80">
        <v>98.766666666666666</v>
      </c>
      <c r="J91" s="80">
        <v>105.50833333333334</v>
      </c>
      <c r="K91" s="80">
        <v>93.35</v>
      </c>
      <c r="L91" s="80">
        <v>121.5</v>
      </c>
    </row>
    <row r="92" spans="2:12" x14ac:dyDescent="0.2">
      <c r="B92" s="62" t="s">
        <v>315</v>
      </c>
      <c r="C92" s="83"/>
      <c r="D92" s="84">
        <v>85.7</v>
      </c>
      <c r="E92" s="85">
        <v>84.1</v>
      </c>
      <c r="F92" s="85">
        <v>104.8</v>
      </c>
      <c r="G92" s="85">
        <v>84.2</v>
      </c>
      <c r="H92" s="85">
        <v>70.5</v>
      </c>
      <c r="I92" s="85">
        <v>90</v>
      </c>
      <c r="J92" s="85">
        <v>107.8</v>
      </c>
      <c r="K92" s="85">
        <v>83.9</v>
      </c>
      <c r="L92" s="85">
        <v>110</v>
      </c>
    </row>
    <row r="93" spans="2:12" x14ac:dyDescent="0.2">
      <c r="D93" s="65"/>
    </row>
    <row r="94" spans="2:12" x14ac:dyDescent="0.2">
      <c r="D94" s="79"/>
      <c r="E94" s="80"/>
      <c r="F94" s="80"/>
      <c r="G94" s="80"/>
      <c r="H94" s="62" t="s">
        <v>316</v>
      </c>
      <c r="I94" s="80"/>
      <c r="J94" s="80"/>
      <c r="K94" s="80"/>
      <c r="L94" s="80"/>
    </row>
    <row r="95" spans="2:12" x14ac:dyDescent="0.2">
      <c r="B95" s="60" t="s">
        <v>317</v>
      </c>
      <c r="D95" s="79">
        <v>110.15833333333333</v>
      </c>
      <c r="E95" s="80">
        <v>107.825</v>
      </c>
      <c r="F95" s="80">
        <v>96.05</v>
      </c>
      <c r="G95" s="80">
        <v>135.6</v>
      </c>
      <c r="H95" s="80">
        <v>130.96666666666667</v>
      </c>
      <c r="I95" s="80">
        <v>109.56666666666666</v>
      </c>
      <c r="J95" s="80">
        <v>88.75833333333334</v>
      </c>
      <c r="K95" s="80">
        <v>111.99166666666667</v>
      </c>
      <c r="L95" s="80">
        <v>100.38333333333333</v>
      </c>
    </row>
    <row r="96" spans="2:12" x14ac:dyDescent="0.2">
      <c r="B96" s="60" t="s">
        <v>318</v>
      </c>
      <c r="D96" s="79">
        <v>107.46666666666667</v>
      </c>
      <c r="E96" s="80">
        <v>103.08333333333333</v>
      </c>
      <c r="F96" s="80">
        <v>103.26666666666667</v>
      </c>
      <c r="G96" s="80">
        <v>108.9</v>
      </c>
      <c r="H96" s="80">
        <v>123.74166666666667</v>
      </c>
      <c r="I96" s="80">
        <v>110.15</v>
      </c>
      <c r="J96" s="80">
        <v>89.3</v>
      </c>
      <c r="K96" s="80">
        <v>106.28333333333333</v>
      </c>
      <c r="L96" s="80">
        <v>97.841666666666669</v>
      </c>
    </row>
    <row r="97" spans="2:12" x14ac:dyDescent="0.2">
      <c r="B97" s="60" t="s">
        <v>319</v>
      </c>
      <c r="D97" s="79">
        <v>98.174999999999997</v>
      </c>
      <c r="E97" s="80">
        <v>103.05</v>
      </c>
      <c r="F97" s="80">
        <v>97.208333333333329</v>
      </c>
      <c r="G97" s="80">
        <v>106.97499999999999</v>
      </c>
      <c r="H97" s="80">
        <v>130.65</v>
      </c>
      <c r="I97" s="80">
        <v>104.88333333333334</v>
      </c>
      <c r="J97" s="80">
        <v>95.65</v>
      </c>
      <c r="K97" s="80">
        <v>103.13333333333333</v>
      </c>
      <c r="L97" s="80">
        <v>102.43333333333334</v>
      </c>
    </row>
    <row r="98" spans="2:12" x14ac:dyDescent="0.2">
      <c r="D98" s="79"/>
      <c r="E98" s="80"/>
      <c r="F98" s="80"/>
      <c r="G98" s="80"/>
      <c r="H98" s="80"/>
      <c r="I98" s="80"/>
      <c r="J98" s="80"/>
      <c r="K98" s="80"/>
      <c r="L98" s="80"/>
    </row>
    <row r="99" spans="2:12" x14ac:dyDescent="0.2">
      <c r="B99" s="60" t="s">
        <v>320</v>
      </c>
      <c r="D99" s="79">
        <v>100.83333333333333</v>
      </c>
      <c r="E99" s="80">
        <v>97.126666666666665</v>
      </c>
      <c r="F99" s="80">
        <v>101.14166666666667</v>
      </c>
      <c r="G99" s="80">
        <v>101.74166666666667</v>
      </c>
      <c r="H99" s="80">
        <v>84.25833333333334</v>
      </c>
      <c r="I99" s="80">
        <v>99.025000000000006</v>
      </c>
      <c r="J99" s="80">
        <v>100.1</v>
      </c>
      <c r="K99" s="80">
        <v>98.50833333333334</v>
      </c>
      <c r="L99" s="80">
        <v>105.63333333333334</v>
      </c>
    </row>
    <row r="100" spans="2:12" x14ac:dyDescent="0.2">
      <c r="B100" s="60" t="s">
        <v>321</v>
      </c>
      <c r="D100" s="79">
        <v>102.8</v>
      </c>
      <c r="E100" s="80">
        <v>92.808333333333337</v>
      </c>
      <c r="F100" s="80">
        <v>102.78333333333333</v>
      </c>
      <c r="G100" s="80">
        <v>97.95</v>
      </c>
      <c r="H100" s="80">
        <v>70.816666666666663</v>
      </c>
      <c r="I100" s="80">
        <v>98.5</v>
      </c>
      <c r="J100" s="80">
        <v>107.40833333333333</v>
      </c>
      <c r="K100" s="80">
        <v>93.783333333333331</v>
      </c>
      <c r="L100" s="80">
        <v>122.425</v>
      </c>
    </row>
    <row r="101" spans="2:12" x14ac:dyDescent="0.2">
      <c r="B101" s="62" t="s">
        <v>322</v>
      </c>
      <c r="C101" s="83"/>
      <c r="D101" s="84">
        <v>94</v>
      </c>
      <c r="E101" s="85">
        <v>85.4</v>
      </c>
      <c r="F101" s="85">
        <v>99.5</v>
      </c>
      <c r="G101" s="85">
        <v>87.4</v>
      </c>
      <c r="H101" s="85">
        <v>70.599999999999994</v>
      </c>
      <c r="I101" s="85">
        <v>96</v>
      </c>
      <c r="J101" s="85">
        <v>105.4</v>
      </c>
      <c r="K101" s="85">
        <v>91.1</v>
      </c>
      <c r="L101" s="85">
        <v>119.8</v>
      </c>
    </row>
    <row r="102" spans="2:12" x14ac:dyDescent="0.2">
      <c r="D102" s="65"/>
    </row>
    <row r="103" spans="2:12" x14ac:dyDescent="0.2">
      <c r="D103" s="79"/>
      <c r="E103" s="80"/>
      <c r="F103" s="80"/>
      <c r="G103" s="80"/>
      <c r="H103" s="62" t="s">
        <v>323</v>
      </c>
      <c r="I103" s="80"/>
      <c r="J103" s="80"/>
      <c r="K103" s="80"/>
      <c r="L103" s="80"/>
    </row>
    <row r="104" spans="2:12" x14ac:dyDescent="0.2">
      <c r="B104" s="60" t="s">
        <v>324</v>
      </c>
      <c r="D104" s="79">
        <v>74.3</v>
      </c>
      <c r="E104" s="80">
        <v>63.8</v>
      </c>
      <c r="F104" s="80">
        <v>98.8</v>
      </c>
      <c r="G104" s="80">
        <v>87.6</v>
      </c>
      <c r="H104" s="80">
        <v>60.1</v>
      </c>
      <c r="I104" s="80">
        <v>83.6</v>
      </c>
      <c r="J104" s="80">
        <v>82.5</v>
      </c>
      <c r="K104" s="80">
        <v>85.8</v>
      </c>
      <c r="L104" s="80">
        <v>102.4</v>
      </c>
    </row>
    <row r="105" spans="2:12" x14ac:dyDescent="0.2">
      <c r="C105" s="60" t="s">
        <v>326</v>
      </c>
      <c r="D105" s="79">
        <v>98.1</v>
      </c>
      <c r="E105" s="80">
        <v>75.7</v>
      </c>
      <c r="F105" s="80">
        <v>104</v>
      </c>
      <c r="G105" s="80">
        <v>88.9</v>
      </c>
      <c r="H105" s="80">
        <v>60.1</v>
      </c>
      <c r="I105" s="80">
        <v>88.2</v>
      </c>
      <c r="J105" s="80">
        <v>90.1</v>
      </c>
      <c r="K105" s="80">
        <v>89.7</v>
      </c>
      <c r="L105" s="80">
        <v>114</v>
      </c>
    </row>
    <row r="106" spans="2:12" x14ac:dyDescent="0.2">
      <c r="C106" s="60" t="s">
        <v>327</v>
      </c>
      <c r="D106" s="79">
        <v>107</v>
      </c>
      <c r="E106" s="80">
        <v>87.8</v>
      </c>
      <c r="F106" s="80">
        <v>102.3</v>
      </c>
      <c r="G106" s="80">
        <v>81.7</v>
      </c>
      <c r="H106" s="80">
        <v>71.7</v>
      </c>
      <c r="I106" s="80">
        <v>91.7</v>
      </c>
      <c r="J106" s="80">
        <v>115</v>
      </c>
      <c r="K106" s="80">
        <v>92.3</v>
      </c>
      <c r="L106" s="80">
        <v>116.6</v>
      </c>
    </row>
    <row r="107" spans="2:12" x14ac:dyDescent="0.2">
      <c r="D107" s="65"/>
    </row>
    <row r="108" spans="2:12" x14ac:dyDescent="0.2">
      <c r="C108" s="60" t="s">
        <v>328</v>
      </c>
      <c r="D108" s="79">
        <v>86.6</v>
      </c>
      <c r="E108" s="80">
        <v>81</v>
      </c>
      <c r="F108" s="80">
        <v>107.9</v>
      </c>
      <c r="G108" s="80">
        <v>85.4</v>
      </c>
      <c r="H108" s="80">
        <v>69.5</v>
      </c>
      <c r="I108" s="80">
        <v>92.8</v>
      </c>
      <c r="J108" s="80">
        <v>115.7</v>
      </c>
      <c r="K108" s="80">
        <v>83.8</v>
      </c>
      <c r="L108" s="80">
        <v>122.1</v>
      </c>
    </row>
    <row r="109" spans="2:12" x14ac:dyDescent="0.2">
      <c r="C109" s="60" t="s">
        <v>329</v>
      </c>
      <c r="D109" s="79">
        <v>74.2</v>
      </c>
      <c r="E109" s="80">
        <v>79.900000000000006</v>
      </c>
      <c r="F109" s="80">
        <v>108.8</v>
      </c>
      <c r="G109" s="80">
        <v>81.900000000000006</v>
      </c>
      <c r="H109" s="80">
        <v>71</v>
      </c>
      <c r="I109" s="80">
        <v>89.6</v>
      </c>
      <c r="J109" s="80">
        <v>114.5</v>
      </c>
      <c r="K109" s="80">
        <v>77</v>
      </c>
      <c r="L109" s="80">
        <v>117.7</v>
      </c>
    </row>
    <row r="110" spans="2:12" x14ac:dyDescent="0.2">
      <c r="C110" s="60" t="s">
        <v>330</v>
      </c>
      <c r="D110" s="79">
        <v>80.099999999999994</v>
      </c>
      <c r="E110" s="80">
        <v>92.2</v>
      </c>
      <c r="F110" s="80">
        <v>105.2</v>
      </c>
      <c r="G110" s="80">
        <v>77.599999999999994</v>
      </c>
      <c r="H110" s="80">
        <v>72.7</v>
      </c>
      <c r="I110" s="80">
        <v>95.5</v>
      </c>
      <c r="J110" s="80">
        <v>121.2</v>
      </c>
      <c r="K110" s="80">
        <v>83.8</v>
      </c>
      <c r="L110" s="80">
        <v>120.3</v>
      </c>
    </row>
    <row r="111" spans="2:12" x14ac:dyDescent="0.2">
      <c r="D111" s="65"/>
    </row>
    <row r="112" spans="2:12" x14ac:dyDescent="0.2">
      <c r="C112" s="60" t="s">
        <v>331</v>
      </c>
      <c r="D112" s="79">
        <v>86.4</v>
      </c>
      <c r="E112" s="80">
        <v>100</v>
      </c>
      <c r="F112" s="80">
        <v>110.4</v>
      </c>
      <c r="G112" s="80">
        <v>78.2</v>
      </c>
      <c r="H112" s="80">
        <v>78.8</v>
      </c>
      <c r="I112" s="80">
        <v>94.2</v>
      </c>
      <c r="J112" s="80">
        <v>126.1</v>
      </c>
      <c r="K112" s="80">
        <v>82.8</v>
      </c>
      <c r="L112" s="80">
        <v>112.5</v>
      </c>
    </row>
    <row r="113" spans="2:12" x14ac:dyDescent="0.2">
      <c r="C113" s="60" t="s">
        <v>332</v>
      </c>
      <c r="D113" s="79">
        <v>74.3</v>
      </c>
      <c r="E113" s="80">
        <v>72.5</v>
      </c>
      <c r="F113" s="80">
        <v>104.7</v>
      </c>
      <c r="G113" s="80">
        <v>86.8</v>
      </c>
      <c r="H113" s="80">
        <v>56.1</v>
      </c>
      <c r="I113" s="80">
        <v>83.1</v>
      </c>
      <c r="J113" s="80">
        <v>106.3</v>
      </c>
      <c r="K113" s="80">
        <v>74.2</v>
      </c>
      <c r="L113" s="80">
        <v>96.2</v>
      </c>
    </row>
    <row r="114" spans="2:12" x14ac:dyDescent="0.2">
      <c r="C114" s="60" t="s">
        <v>333</v>
      </c>
      <c r="D114" s="79">
        <v>80</v>
      </c>
      <c r="E114" s="80">
        <v>78.8</v>
      </c>
      <c r="F114" s="80">
        <v>101.7</v>
      </c>
      <c r="G114" s="80">
        <v>84.5</v>
      </c>
      <c r="H114" s="80">
        <v>65.400000000000006</v>
      </c>
      <c r="I114" s="80">
        <v>91.4</v>
      </c>
      <c r="J114" s="80">
        <v>98.6</v>
      </c>
      <c r="K114" s="80">
        <v>76.2</v>
      </c>
      <c r="L114" s="80">
        <v>122.5</v>
      </c>
    </row>
    <row r="115" spans="2:12" x14ac:dyDescent="0.2">
      <c r="D115" s="65"/>
    </row>
    <row r="116" spans="2:12" x14ac:dyDescent="0.2">
      <c r="C116" s="60" t="s">
        <v>334</v>
      </c>
      <c r="D116" s="79">
        <v>81.7</v>
      </c>
      <c r="E116" s="80">
        <v>89.8</v>
      </c>
      <c r="F116" s="80">
        <v>94.4</v>
      </c>
      <c r="G116" s="80">
        <v>80.599999999999994</v>
      </c>
      <c r="H116" s="80">
        <v>83.4</v>
      </c>
      <c r="I116" s="80">
        <v>93.8</v>
      </c>
      <c r="J116" s="80">
        <v>102.6</v>
      </c>
      <c r="K116" s="80">
        <v>84.3</v>
      </c>
      <c r="L116" s="80">
        <v>97.4</v>
      </c>
    </row>
    <row r="117" spans="2:12" x14ac:dyDescent="0.2">
      <c r="C117" s="60" t="s">
        <v>335</v>
      </c>
      <c r="D117" s="79">
        <v>89</v>
      </c>
      <c r="E117" s="80">
        <v>99.2</v>
      </c>
      <c r="F117" s="80">
        <v>100</v>
      </c>
      <c r="G117" s="80">
        <v>84.7</v>
      </c>
      <c r="H117" s="80">
        <v>82.4</v>
      </c>
      <c r="I117" s="80">
        <v>90</v>
      </c>
      <c r="J117" s="80">
        <v>115.9</v>
      </c>
      <c r="K117" s="80">
        <v>87.2</v>
      </c>
      <c r="L117" s="80">
        <v>94.5</v>
      </c>
    </row>
    <row r="118" spans="2:12" x14ac:dyDescent="0.2">
      <c r="C118" s="60" t="s">
        <v>336</v>
      </c>
      <c r="D118" s="79">
        <v>96.9</v>
      </c>
      <c r="E118" s="80">
        <v>88.1</v>
      </c>
      <c r="F118" s="80">
        <v>119.8</v>
      </c>
      <c r="G118" s="80">
        <v>92.6</v>
      </c>
      <c r="H118" s="80">
        <v>74.900000000000006</v>
      </c>
      <c r="I118" s="80">
        <v>85.6</v>
      </c>
      <c r="J118" s="80">
        <v>104.8</v>
      </c>
      <c r="K118" s="80">
        <v>89.6</v>
      </c>
      <c r="L118" s="80">
        <v>103.3</v>
      </c>
    </row>
    <row r="119" spans="2:12" x14ac:dyDescent="0.2">
      <c r="D119" s="65"/>
    </row>
    <row r="120" spans="2:12" x14ac:dyDescent="0.2">
      <c r="D120" s="79"/>
      <c r="E120" s="80"/>
      <c r="F120" s="80"/>
      <c r="G120" s="62" t="s">
        <v>337</v>
      </c>
      <c r="H120" s="83"/>
      <c r="I120" s="80"/>
      <c r="J120" s="80"/>
      <c r="K120" s="80"/>
      <c r="L120" s="80"/>
    </row>
    <row r="121" spans="2:12" x14ac:dyDescent="0.2">
      <c r="B121" s="60" t="s">
        <v>324</v>
      </c>
      <c r="D121" s="79">
        <v>88.4</v>
      </c>
      <c r="E121" s="80">
        <v>87.1</v>
      </c>
      <c r="F121" s="80">
        <v>100.9</v>
      </c>
      <c r="G121" s="80">
        <v>93.5</v>
      </c>
      <c r="H121" s="80">
        <v>72.400000000000006</v>
      </c>
      <c r="I121" s="80">
        <v>92.9</v>
      </c>
      <c r="J121" s="80">
        <v>107</v>
      </c>
      <c r="K121" s="80">
        <v>88</v>
      </c>
      <c r="L121" s="80">
        <v>116.3</v>
      </c>
    </row>
    <row r="122" spans="2:12" x14ac:dyDescent="0.2">
      <c r="B122" s="83"/>
      <c r="C122" s="60" t="s">
        <v>326</v>
      </c>
      <c r="D122" s="79">
        <v>87.5</v>
      </c>
      <c r="E122" s="80">
        <v>84.6</v>
      </c>
      <c r="F122" s="80">
        <v>110.6</v>
      </c>
      <c r="G122" s="80">
        <v>84.9</v>
      </c>
      <c r="H122" s="80">
        <v>67.7</v>
      </c>
      <c r="I122" s="80">
        <v>90.1</v>
      </c>
      <c r="J122" s="80">
        <v>105.6</v>
      </c>
      <c r="K122" s="80">
        <v>86.2</v>
      </c>
      <c r="L122" s="80">
        <v>123.1</v>
      </c>
    </row>
    <row r="123" spans="2:12" x14ac:dyDescent="0.2">
      <c r="B123" s="83"/>
      <c r="C123" s="60" t="s">
        <v>327</v>
      </c>
      <c r="D123" s="79">
        <v>90.2</v>
      </c>
      <c r="E123" s="80">
        <v>85.4</v>
      </c>
      <c r="F123" s="80">
        <v>102.9</v>
      </c>
      <c r="G123" s="80">
        <v>84.3</v>
      </c>
      <c r="H123" s="80">
        <v>69.2</v>
      </c>
      <c r="I123" s="80">
        <v>88.8</v>
      </c>
      <c r="J123" s="80">
        <v>109.1</v>
      </c>
      <c r="K123" s="80">
        <v>87.8</v>
      </c>
      <c r="L123" s="80">
        <v>112.6</v>
      </c>
    </row>
    <row r="124" spans="2:12" x14ac:dyDescent="0.2">
      <c r="D124" s="65"/>
    </row>
    <row r="125" spans="2:12" x14ac:dyDescent="0.2">
      <c r="B125" s="83"/>
      <c r="C125" s="60" t="s">
        <v>328</v>
      </c>
      <c r="D125" s="79">
        <v>86.4</v>
      </c>
      <c r="E125" s="80">
        <v>81.8</v>
      </c>
      <c r="F125" s="80">
        <v>105.6</v>
      </c>
      <c r="G125" s="80">
        <v>82.6</v>
      </c>
      <c r="H125" s="80">
        <v>67.400000000000006</v>
      </c>
      <c r="I125" s="80">
        <v>88.6</v>
      </c>
      <c r="J125" s="80">
        <v>106.2</v>
      </c>
      <c r="K125" s="80">
        <v>85</v>
      </c>
      <c r="L125" s="80">
        <v>121.3</v>
      </c>
    </row>
    <row r="126" spans="2:12" x14ac:dyDescent="0.2">
      <c r="B126" s="83"/>
      <c r="C126" s="60" t="s">
        <v>329</v>
      </c>
      <c r="D126" s="79">
        <v>87.6</v>
      </c>
      <c r="E126" s="80">
        <v>84.7</v>
      </c>
      <c r="F126" s="80">
        <v>107</v>
      </c>
      <c r="G126" s="80">
        <v>84.6</v>
      </c>
      <c r="H126" s="80">
        <v>69.900000000000006</v>
      </c>
      <c r="I126" s="80">
        <v>89</v>
      </c>
      <c r="J126" s="80">
        <v>109.3</v>
      </c>
      <c r="K126" s="80">
        <v>79.2</v>
      </c>
      <c r="L126" s="80">
        <v>113.6</v>
      </c>
    </row>
    <row r="127" spans="2:12" x14ac:dyDescent="0.2">
      <c r="B127" s="83"/>
      <c r="C127" s="60" t="s">
        <v>330</v>
      </c>
      <c r="D127" s="79">
        <v>87.7</v>
      </c>
      <c r="E127" s="80">
        <v>86.1</v>
      </c>
      <c r="F127" s="80">
        <v>108.5</v>
      </c>
      <c r="G127" s="80">
        <v>79.7</v>
      </c>
      <c r="H127" s="80">
        <v>71.400000000000006</v>
      </c>
      <c r="I127" s="80">
        <v>89.7</v>
      </c>
      <c r="J127" s="80">
        <v>110.5</v>
      </c>
      <c r="K127" s="80">
        <v>84.2</v>
      </c>
      <c r="L127" s="80">
        <v>109.5</v>
      </c>
    </row>
    <row r="128" spans="2:12" x14ac:dyDescent="0.2">
      <c r="B128" s="83"/>
      <c r="D128" s="65"/>
    </row>
    <row r="129" spans="1:12" x14ac:dyDescent="0.2">
      <c r="B129" s="83"/>
      <c r="C129" s="60" t="s">
        <v>331</v>
      </c>
      <c r="D129" s="79">
        <v>87.9</v>
      </c>
      <c r="E129" s="80">
        <v>88.4</v>
      </c>
      <c r="F129" s="80">
        <v>115.6</v>
      </c>
      <c r="G129" s="80">
        <v>81.3</v>
      </c>
      <c r="H129" s="80">
        <v>70.8</v>
      </c>
      <c r="I129" s="80">
        <v>90.7</v>
      </c>
      <c r="J129" s="80">
        <v>109.6</v>
      </c>
      <c r="K129" s="80">
        <v>82.3</v>
      </c>
      <c r="L129" s="80">
        <v>104.2</v>
      </c>
    </row>
    <row r="130" spans="1:12" x14ac:dyDescent="0.2">
      <c r="B130" s="83"/>
      <c r="C130" s="60" t="s">
        <v>332</v>
      </c>
      <c r="D130" s="79">
        <v>85.7</v>
      </c>
      <c r="E130" s="80">
        <v>80.099999999999994</v>
      </c>
      <c r="F130" s="80">
        <v>94.1</v>
      </c>
      <c r="G130" s="80">
        <v>84.4</v>
      </c>
      <c r="H130" s="80">
        <v>73</v>
      </c>
      <c r="I130" s="80">
        <v>90.7</v>
      </c>
      <c r="J130" s="80">
        <v>106.7</v>
      </c>
      <c r="K130" s="80">
        <v>80.400000000000006</v>
      </c>
      <c r="L130" s="80">
        <v>106</v>
      </c>
    </row>
    <row r="131" spans="1:12" x14ac:dyDescent="0.2">
      <c r="B131" s="83"/>
      <c r="C131" s="60" t="s">
        <v>333</v>
      </c>
      <c r="D131" s="79">
        <v>84.8</v>
      </c>
      <c r="E131" s="80">
        <v>78.900000000000006</v>
      </c>
      <c r="F131" s="80">
        <v>100.5</v>
      </c>
      <c r="G131" s="80">
        <v>83.9</v>
      </c>
      <c r="H131" s="80">
        <v>71.900000000000006</v>
      </c>
      <c r="I131" s="80">
        <v>90.9</v>
      </c>
      <c r="J131" s="80">
        <v>105.7</v>
      </c>
      <c r="K131" s="80">
        <v>77.8</v>
      </c>
      <c r="L131" s="80">
        <v>104.3</v>
      </c>
    </row>
    <row r="132" spans="1:12" x14ac:dyDescent="0.2">
      <c r="D132" s="65"/>
    </row>
    <row r="133" spans="1:12" x14ac:dyDescent="0.2">
      <c r="B133" s="83"/>
      <c r="C133" s="60" t="s">
        <v>334</v>
      </c>
      <c r="D133" s="79">
        <v>82.1</v>
      </c>
      <c r="E133" s="80">
        <v>82</v>
      </c>
      <c r="F133" s="80">
        <v>103.7</v>
      </c>
      <c r="G133" s="80">
        <v>78.7</v>
      </c>
      <c r="H133" s="80">
        <v>70.5</v>
      </c>
      <c r="I133" s="80">
        <v>91.4</v>
      </c>
      <c r="J133" s="80">
        <v>108.5</v>
      </c>
      <c r="K133" s="80">
        <v>81.400000000000006</v>
      </c>
      <c r="L133" s="80">
        <v>103.5</v>
      </c>
    </row>
    <row r="134" spans="1:12" x14ac:dyDescent="0.2">
      <c r="B134" s="83"/>
      <c r="C134" s="60" t="s">
        <v>335</v>
      </c>
      <c r="D134" s="79">
        <v>84.9</v>
      </c>
      <c r="E134" s="80">
        <v>83.9</v>
      </c>
      <c r="F134" s="80">
        <v>104.4</v>
      </c>
      <c r="G134" s="80">
        <v>78.7</v>
      </c>
      <c r="H134" s="80">
        <v>71.2</v>
      </c>
      <c r="I134" s="80">
        <v>89.5</v>
      </c>
      <c r="J134" s="80">
        <v>113.2</v>
      </c>
      <c r="K134" s="80">
        <v>85.8</v>
      </c>
      <c r="L134" s="80">
        <v>100.4</v>
      </c>
    </row>
    <row r="135" spans="1:12" x14ac:dyDescent="0.2">
      <c r="B135" s="83"/>
      <c r="C135" s="60" t="s">
        <v>336</v>
      </c>
      <c r="D135" s="79">
        <v>83.4</v>
      </c>
      <c r="E135" s="80">
        <v>85.6</v>
      </c>
      <c r="F135" s="80">
        <v>106.3</v>
      </c>
      <c r="G135" s="80">
        <v>80.599999999999994</v>
      </c>
      <c r="H135" s="80">
        <v>70.900000000000006</v>
      </c>
      <c r="I135" s="80">
        <v>87.9</v>
      </c>
      <c r="J135" s="80">
        <v>101</v>
      </c>
      <c r="K135" s="80">
        <v>88.1</v>
      </c>
      <c r="L135" s="80">
        <v>105.5</v>
      </c>
    </row>
    <row r="136" spans="1:12" ht="18" thickBot="1" x14ac:dyDescent="0.25">
      <c r="B136" s="88"/>
      <c r="C136" s="88"/>
      <c r="D136" s="89"/>
      <c r="E136" s="90"/>
      <c r="F136" s="90"/>
      <c r="G136" s="90"/>
      <c r="H136" s="90"/>
      <c r="I136" s="90"/>
      <c r="J136" s="90"/>
      <c r="K136" s="90"/>
      <c r="L136" s="90"/>
    </row>
    <row r="137" spans="1:12" x14ac:dyDescent="0.2">
      <c r="B137" s="83"/>
      <c r="C137" s="83"/>
      <c r="D137" s="60" t="s">
        <v>338</v>
      </c>
      <c r="E137" s="83"/>
      <c r="F137" s="83"/>
      <c r="G137" s="83"/>
      <c r="H137" s="83"/>
      <c r="I137" s="83"/>
      <c r="J137" s="83"/>
      <c r="K137" s="83"/>
      <c r="L137" s="83"/>
    </row>
    <row r="138" spans="1:12" x14ac:dyDescent="0.2">
      <c r="A138" s="60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2" manualBreakCount="2">
    <brk id="68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I01砕石</vt:lpstr>
      <vt:lpstr>I02生ｺﾝ</vt:lpstr>
      <vt:lpstr>Ｉ03,4製造</vt:lpstr>
      <vt:lpstr>I05町村</vt:lpstr>
      <vt:lpstr>I06薬品</vt:lpstr>
      <vt:lpstr>I07酒類</vt:lpstr>
      <vt:lpstr>I08IIP</vt:lpstr>
      <vt:lpstr>I01砕石!Print_Area_MI</vt:lpstr>
      <vt:lpstr>I02生ｺﾝ!Print_Area_MI</vt:lpstr>
      <vt:lpstr>'Ｉ03,4製造'!Print_Area_MI</vt:lpstr>
      <vt:lpstr>I05町村!Print_Area_MI</vt:lpstr>
      <vt:lpstr>I06薬品!Print_Area_MI</vt:lpstr>
      <vt:lpstr>I07酒類!Print_Area_MI</vt:lpstr>
      <vt:lpstr>I08IIP!Print_Area_MI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2018-08-10T06:30:05Z</dcterms:created>
  <dcterms:modified xsi:type="dcterms:W3CDTF">2018-08-10T06:32:09Z</dcterms:modified>
</cp:coreProperties>
</file>